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45" activeTab="0"/>
  </bookViews>
  <sheets>
    <sheet name="дод 3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Z_262A3912_DD70_4B2A_8782_11241825DD41_.wvu.FilterData" localSheetId="0" hidden="1">'дод 3'!$B$2:$B$129</definedName>
    <definedName name="Z_262A3912_DD70_4B2A_8782_11241825DD41_.wvu.PrintArea" localSheetId="0" hidden="1">'дод 3'!$B$1:$Q$129</definedName>
    <definedName name="Z_262A3912_DD70_4B2A_8782_11241825DD41_.wvu.PrintTitles" localSheetId="0" hidden="1">'дод 3'!$9:$13</definedName>
    <definedName name="Z_55DE217F_7BCE_4030_A378_BBDB19AA32BC_.wvu.FilterData" localSheetId="0" hidden="1">'дод 3'!$B$2:$B$129</definedName>
    <definedName name="Z_55DE217F_7BCE_4030_A378_BBDB19AA32BC_.wvu.PrintArea" localSheetId="0" hidden="1">'дод 3'!$B$1:$Q$129</definedName>
    <definedName name="Z_55DE217F_7BCE_4030_A378_BBDB19AA32BC_.wvu.PrintTitles" localSheetId="0" hidden="1">'дод 3'!$9:$13</definedName>
    <definedName name="Z_8C514651_C019_48EB_BC9A_5CF7A7C062C3_.wvu.FilterData" localSheetId="0" hidden="1">'дод 3'!$B$2:$B$129</definedName>
    <definedName name="Z_8C514651_C019_48EB_BC9A_5CF7A7C062C3_.wvu.PrintArea" localSheetId="0" hidden="1">'дод 3'!$B$1:$Q$129</definedName>
    <definedName name="Z_8C514651_C019_48EB_BC9A_5CF7A7C062C3_.wvu.PrintTitles" localSheetId="0" hidden="1">'дод 3'!$9:$13</definedName>
    <definedName name="Z_A2EE22D5_0D01_4651_974A_DBB0B47E334C_.wvu.FilterData" localSheetId="0" hidden="1">'дод 3'!$B$2:$B$129</definedName>
    <definedName name="Z_A2EE22D5_0D01_4651_974A_DBB0B47E334C_.wvu.PrintArea" localSheetId="0" hidden="1">'дод 3'!$B$1:$Q$129</definedName>
    <definedName name="Z_A2EE22D5_0D01_4651_974A_DBB0B47E334C_.wvu.PrintTitles" localSheetId="0" hidden="1">'дод 3'!$9:$13</definedName>
    <definedName name="Z_B9ABD3DA_D8E6_4359_B122_CA96965080C7_.wvu.FilterData" localSheetId="0" hidden="1">'дод 3'!$B$2:$B$129</definedName>
    <definedName name="Z_B9ABD3DA_D8E6_4359_B122_CA96965080C7_.wvu.PrintArea" localSheetId="0" hidden="1">'дод 3'!$B$1:$Q$129</definedName>
    <definedName name="Z_B9ABD3DA_D8E6_4359_B122_CA96965080C7_.wvu.PrintTitles" localSheetId="0" hidden="1">'дод 3'!$9:$13</definedName>
    <definedName name="Z_CEC3A13C_C991_47CB_8169_8518E6DF0FD0_.wvu.FilterData" localSheetId="0" hidden="1">'дод 3'!$B$2:$B$129</definedName>
    <definedName name="Z_CEC3A13C_C991_47CB_8169_8518E6DF0FD0_.wvu.PrintArea" localSheetId="0" hidden="1">'дод 3'!$B$1:$Q$129</definedName>
    <definedName name="Z_CEC3A13C_C991_47CB_8169_8518E6DF0FD0_.wvu.PrintTitles" localSheetId="0" hidden="1">'дод 3'!$9:$13</definedName>
    <definedName name="Z_D73D0E9B_2717_48D0_8E2C_FF64265ACAB1_.wvu.FilterData" localSheetId="0" hidden="1">'дод 3'!$B$2:$B$129</definedName>
    <definedName name="Z_D73D0E9B_2717_48D0_8E2C_FF64265ACAB1_.wvu.PrintArea" localSheetId="0" hidden="1">'дод 3'!$B$1:$Q$129</definedName>
    <definedName name="Z_D73D0E9B_2717_48D0_8E2C_FF64265ACAB1_.wvu.PrintTitles" localSheetId="0" hidden="1">'дод 3'!$9:$13</definedName>
    <definedName name="Z_EBAA2E10_33D1_4ABA_B856_04E6905A93CB_.wvu.FilterData" localSheetId="0" hidden="1">'дод 3'!$B$2:$B$129</definedName>
    <definedName name="Z_EBAA2E10_33D1_4ABA_B856_04E6905A93CB_.wvu.PrintArea" localSheetId="0" hidden="1">'дод 3'!$B$1:$Q$129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3'!$A$2:$Q$129</definedName>
  </definedNames>
  <calcPr fullCalcOnLoad="1"/>
</workbook>
</file>

<file path=xl/sharedStrings.xml><?xml version="1.0" encoding="utf-8"?>
<sst xmlns="http://schemas.openxmlformats.org/spreadsheetml/2006/main" count="421" uniqueCount="341">
  <si>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</si>
  <si>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</si>
  <si>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</si>
  <si>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</si>
  <si>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</si>
  <si>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Разом</t>
  </si>
  <si>
    <t>01</t>
  </si>
  <si>
    <t>0100000</t>
  </si>
  <si>
    <t>0110000</t>
  </si>
  <si>
    <t xml:space="preserve">до рішення обласної ради </t>
  </si>
  <si>
    <t>10</t>
  </si>
  <si>
    <t>070301</t>
  </si>
  <si>
    <t>070303</t>
  </si>
  <si>
    <t>070304</t>
  </si>
  <si>
    <t>070307</t>
  </si>
  <si>
    <t>070401</t>
  </si>
  <si>
    <t>070501</t>
  </si>
  <si>
    <t>070602</t>
  </si>
  <si>
    <t>070701</t>
  </si>
  <si>
    <t>070802</t>
  </si>
  <si>
    <t>Методичне забезпечення діяльності навчальних закладів та інші заходи в галузі освіти </t>
  </si>
  <si>
    <t>070804</t>
  </si>
  <si>
    <t xml:space="preserve">Централізоване ведення бухгалтерського обліку </t>
  </si>
  <si>
    <t>130102</t>
  </si>
  <si>
    <t>130107</t>
  </si>
  <si>
    <t>150101</t>
  </si>
  <si>
    <t>070806</t>
  </si>
  <si>
    <t>14</t>
  </si>
  <si>
    <t>070601</t>
  </si>
  <si>
    <t>080101</t>
  </si>
  <si>
    <t>Багатопрофільна стаціонарна медична допомога населенню</t>
  </si>
  <si>
    <t>080201</t>
  </si>
  <si>
    <t>Спеціалізована стаціонарна медична допомога населенню</t>
  </si>
  <si>
    <t>080204</t>
  </si>
  <si>
    <t>Санаторне лікування хворих на туберкульоз</t>
  </si>
  <si>
    <t>080205</t>
  </si>
  <si>
    <t>Санаторне лікування дітей та підлітків із соматичними захворюваннями (крім туберкульозу)</t>
  </si>
  <si>
    <t>080207</t>
  </si>
  <si>
    <t>080208</t>
  </si>
  <si>
    <t>Створення банків крові та її компонентів</t>
  </si>
  <si>
    <t>080400</t>
  </si>
  <si>
    <t>Спеціалізована амбулаторно-поліклінічна допомога населенню </t>
  </si>
  <si>
    <t>080500</t>
  </si>
  <si>
    <t>Надання стоматологічної допомоги населенню </t>
  </si>
  <si>
    <t>080704</t>
  </si>
  <si>
    <t>081001</t>
  </si>
  <si>
    <t>Проведення належної медико-соціальної  експертизи (МСЕК) 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</si>
  <si>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</si>
  <si>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</si>
  <si>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</si>
  <si>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Бібліотеки </t>
  </si>
  <si>
    <t>15</t>
  </si>
  <si>
    <t>090412</t>
  </si>
  <si>
    <t>090601</t>
  </si>
  <si>
    <t>090901</t>
  </si>
  <si>
    <t>091209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</si>
  <si>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</si>
  <si>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091212</t>
  </si>
  <si>
    <t>Забезпечення обробки інформації з нарахування та виплати допомог і компенсацій</t>
  </si>
  <si>
    <t>20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</si>
  <si>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</si>
  <si>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</si>
  <si>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</si>
  <si>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24</t>
  </si>
  <si>
    <t>Підготовка кадрів вищими навчальними  закладами I і II рівнів акредитації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</si>
  <si>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</si>
  <si>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</si>
  <si>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</si>
  <si>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</si>
  <si>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110202</t>
  </si>
  <si>
    <t>Музеї і виставки </t>
  </si>
  <si>
    <t>110203</t>
  </si>
  <si>
    <t>Заповідники </t>
  </si>
  <si>
    <t>110502</t>
  </si>
  <si>
    <t>250404</t>
  </si>
  <si>
    <t>250326</t>
  </si>
  <si>
    <t>250328</t>
  </si>
  <si>
    <t>250330</t>
  </si>
  <si>
    <t>250376</t>
  </si>
  <si>
    <t>250380</t>
  </si>
  <si>
    <t>Інші субвенції</t>
  </si>
  <si>
    <t>76</t>
  </si>
  <si>
    <t>Загальнообласні видатки</t>
  </si>
  <si>
    <t>250102</t>
  </si>
  <si>
    <t>010116</t>
  </si>
  <si>
    <t>0800000</t>
  </si>
  <si>
    <t>08</t>
  </si>
  <si>
    <t>0810000</t>
  </si>
  <si>
    <t>11</t>
  </si>
  <si>
    <t>091103</t>
  </si>
  <si>
    <t>091106</t>
  </si>
  <si>
    <t>091108</t>
  </si>
  <si>
    <t>130106</t>
  </si>
  <si>
    <t>Проведення навчально-тренувальних зборів і змагань з неолімпійських видів спорту</t>
  </si>
  <si>
    <t>091101</t>
  </si>
  <si>
    <t>091102</t>
  </si>
  <si>
    <t>Програми і заходи центрів соціальних служб для сім'ї, дітей та молоді</t>
  </si>
  <si>
    <t>130104</t>
  </si>
  <si>
    <t>130105</t>
  </si>
  <si>
    <t>Проведення навчально-тренувальних зборів і змагань та заходів з інвалідного спорту 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</si>
  <si>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</si>
  <si>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</si>
  <si>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</si>
  <si>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130203</t>
  </si>
  <si>
    <t xml:space="preserve">Всього видатків </t>
  </si>
  <si>
    <t>081002</t>
  </si>
  <si>
    <t>7610000</t>
  </si>
  <si>
    <t>2400000</t>
  </si>
  <si>
    <t>2410000</t>
  </si>
  <si>
    <t>Заходи державної політики з питань дітей та їх соціального захисту</t>
  </si>
  <si>
    <t>Реалізація заходів щодо інвестиційного розвитку території</t>
  </si>
  <si>
    <t>Інші видатки</t>
  </si>
  <si>
    <t>080209</t>
  </si>
  <si>
    <t>081007</t>
  </si>
  <si>
    <t>091214</t>
  </si>
  <si>
    <t>081003</t>
  </si>
  <si>
    <t>Інші видатки на соціальний захист населення</t>
  </si>
  <si>
    <t>081010</t>
  </si>
  <si>
    <t xml:space="preserve">Централізовані заходи з лікування онкологічних хворих </t>
  </si>
  <si>
    <t>0113400</t>
  </si>
  <si>
    <t>0118600</t>
  </si>
  <si>
    <t>Центри соціальних служб для сім'ї, дітей та молоді</t>
  </si>
  <si>
    <t>Програма і централізовані заходи боротьби з туберкульозом </t>
  </si>
  <si>
    <t>Утримання закладів, що надають соціальні послуги дітям, які опинились у складних життєвих обставинах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</si>
  <si>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</si>
  <si>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</si>
  <si>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0818600</t>
  </si>
  <si>
    <t>Інші культурно-освітні заклади та заходи</t>
  </si>
  <si>
    <t>Додаток 3
до рішення обласної ради
"Про внесення змін до обласного бюджету на 2016 рік"</t>
  </si>
  <si>
    <t>"Про обласний бюджет на 2017 рік"</t>
  </si>
  <si>
    <t xml:space="preserve">Розподіл видатків обласного бюджету на 2017 рік </t>
  </si>
  <si>
    <t>Код програмної класифікації видатків та кредитування місцевих бюджетів (КПКВК)</t>
  </si>
  <si>
    <t>видатки споживання</t>
  </si>
  <si>
    <t>видатки розвитку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</si>
  <si>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</si>
  <si>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 (КФКВКБ)</t>
  </si>
  <si>
    <t>16=5+10</t>
  </si>
  <si>
    <t>0421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</si>
  <si>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</si>
  <si>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0540</t>
  </si>
  <si>
    <t>Інша діяльність у сфері охорони навколишнього природного середовища (Обласний фонд охорони навколишнього природного середовища)</t>
  </si>
  <si>
    <t>0520</t>
  </si>
  <si>
    <t>Збереження природно-заповідного фонду (Обласний фонд охорони навколишнього природного середовища)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</si>
  <si>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</si>
  <si>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</si>
  <si>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</si>
  <si>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</si>
  <si>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</si>
  <si>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</si>
  <si>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</si>
  <si>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</si>
  <si>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</si>
  <si>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</si>
  <si>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</si>
  <si>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</si>
  <si>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1100</t>
  </si>
  <si>
    <t>0930</t>
  </si>
  <si>
    <t>1130</t>
  </si>
  <si>
    <t>0942</t>
  </si>
  <si>
    <t>Підготовка кадрів вищими навчальними закладами ІІІ і ІV рівнів акредитації </t>
  </si>
  <si>
    <t>1140</t>
  </si>
  <si>
    <t>0950</t>
  </si>
  <si>
    <t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 </t>
  </si>
  <si>
    <t>1170</t>
  </si>
  <si>
    <t>0990</t>
  </si>
  <si>
    <t>1190</t>
  </si>
  <si>
    <t>1210</t>
  </si>
  <si>
    <t>Утримання інших закладів освіти 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</si>
  <si>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</si>
  <si>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</si>
  <si>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</si>
  <si>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0810</t>
  </si>
  <si>
    <t>5022</t>
  </si>
  <si>
    <t>0511</t>
  </si>
  <si>
    <t>Охорона та раціональне використання природних ресурсів (Обласний фонд охорони навколишнього природного середовища)</t>
  </si>
  <si>
    <t>9110</t>
  </si>
  <si>
    <t>240601</t>
  </si>
  <si>
    <r>
      <t xml:space="preserve">Департамент освіти і науки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</si>
  <si>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</rPr>
      <t xml:space="preserve">(відповідальний виконавець) </t>
    </r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</si>
  <si>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</si>
  <si>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</si>
  <si>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</si>
  <si>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</si>
  <si>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</si>
  <si>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</si>
  <si>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</si>
  <si>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</si>
  <si>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</si>
  <si>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</si>
  <si>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</rPr>
      <t xml:space="preserve"> (головний розпорядник)</t>
    </r>
  </si>
  <si>
    <t>3400</t>
  </si>
  <si>
    <t>Інші видатки на соціальний захист населення  </t>
  </si>
  <si>
    <t>8600</t>
  </si>
  <si>
    <t xml:space="preserve">Іншi  видатки </t>
  </si>
  <si>
    <t>0133</t>
  </si>
  <si>
    <t>0180</t>
  </si>
  <si>
    <t>7618320</t>
  </si>
  <si>
    <t>8320</t>
  </si>
  <si>
    <t>7618340</t>
  </si>
  <si>
    <t>8340</t>
  </si>
  <si>
    <t>7618480</t>
  </si>
  <si>
    <t>8480</t>
  </si>
  <si>
    <t>7618010</t>
  </si>
  <si>
    <t>8010</t>
  </si>
  <si>
    <t>1120</t>
  </si>
  <si>
    <t>0941</t>
  </si>
  <si>
    <t>2010</t>
  </si>
  <si>
    <t>0731</t>
  </si>
  <si>
    <t>2030</t>
  </si>
  <si>
    <t>0732</t>
  </si>
  <si>
    <t>2060</t>
  </si>
  <si>
    <t>0734</t>
  </si>
  <si>
    <t>2070</t>
  </si>
  <si>
    <t>2090</t>
  </si>
  <si>
    <t>0761</t>
  </si>
  <si>
    <t>2100</t>
  </si>
  <si>
    <t>0762</t>
  </si>
  <si>
    <t>2110</t>
  </si>
  <si>
    <t>0724</t>
  </si>
  <si>
    <t>2130</t>
  </si>
  <si>
    <t>0722</t>
  </si>
  <si>
    <t>2140</t>
  </si>
  <si>
    <t>2170</t>
  </si>
  <si>
    <t>0740</t>
  </si>
  <si>
    <t>2190</t>
  </si>
  <si>
    <t>0763</t>
  </si>
  <si>
    <t>2200</t>
  </si>
  <si>
    <t>2212</t>
  </si>
  <si>
    <t>2214</t>
  </si>
  <si>
    <t>2215</t>
  </si>
  <si>
    <t>4060</t>
  </si>
  <si>
    <t>0824</t>
  </si>
  <si>
    <t>Підготовка кадрів вищими навчальними закладами І і ІІ рівнів акредитації </t>
  </si>
  <si>
    <t>Медико-соціальний захист дітей-сиріт і дітей, позбавлених батьківського піклування</t>
  </si>
  <si>
    <t>Надання екстреної та швидкої медичної допомоги населенню</t>
  </si>
  <si>
    <t>Інформаційно-методичне та просвітницьке забезпечення в галузі охорони здоров'я 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</si>
  <si>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</si>
  <si>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</si>
  <si>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</rPr>
      <t>(відповідальний виконавець)</t>
    </r>
  </si>
  <si>
    <t>4020</t>
  </si>
  <si>
    <t>0821</t>
  </si>
  <si>
    <t>4030</t>
  </si>
  <si>
    <t>0822</t>
  </si>
  <si>
    <t>4070</t>
  </si>
  <si>
    <t>4080</t>
  </si>
  <si>
    <t>0827</t>
  </si>
  <si>
    <t>4200</t>
  </si>
  <si>
    <t>0829</t>
  </si>
  <si>
    <t>3101</t>
  </si>
  <si>
    <t>1010</t>
  </si>
  <si>
    <t>3102</t>
  </si>
  <si>
    <t>1020</t>
  </si>
  <si>
    <t>3202</t>
  </si>
  <si>
    <t>1030</t>
  </si>
  <si>
    <t>3220</t>
  </si>
  <si>
    <t>Інші установи та заклади</t>
  </si>
  <si>
    <t>3300</t>
  </si>
  <si>
    <t>3111</t>
  </si>
  <si>
    <t>3131</t>
  </si>
  <si>
    <t>3132</t>
  </si>
  <si>
    <t>3140</t>
  </si>
  <si>
    <t>3500</t>
  </si>
  <si>
    <t>3112</t>
  </si>
  <si>
    <t>5012</t>
  </si>
  <si>
    <t>5021</t>
  </si>
  <si>
    <t>5060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</si>
  <si>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</si>
  <si>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>130112</t>
  </si>
  <si>
    <t>130204</t>
  </si>
  <si>
    <t>5033</t>
  </si>
  <si>
    <t>2220</t>
  </si>
  <si>
    <t>Інші заходи в галузі охорони здоров’я </t>
  </si>
  <si>
    <t>Доходи</t>
  </si>
  <si>
    <t>Вільні лишки на 1.01.2016</t>
  </si>
  <si>
    <t>Кредитування</t>
  </si>
  <si>
    <t>Передача до бюджету розвитку</t>
  </si>
  <si>
    <t>Баланс</t>
  </si>
  <si>
    <t>Всього видатків</t>
  </si>
  <si>
    <t>6310</t>
  </si>
  <si>
    <t>0490</t>
  </si>
  <si>
    <r>
      <t xml:space="preserve">Управління молоді та спорту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</si>
  <si>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</rPr>
      <t xml:space="preserve">(відповідальний виконавець) </t>
    </r>
  </si>
  <si>
    <t>Загальний фонд</t>
  </si>
  <si>
    <t>Спеціальний фонд</t>
  </si>
  <si>
    <r>
      <t>Департамент агропромислового розвитку ОДА</t>
    </r>
    <r>
      <rPr>
        <sz val="10"/>
        <rFont val="Times New Roman"/>
        <family val="1"/>
      </rPr>
      <t xml:space="preserve"> (відповідальний виконавець)</t>
    </r>
  </si>
  <si>
    <r>
      <t>Департамент агропромислового розвитку ОДА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(головний розпорядник)</t>
    </r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</si>
  <si>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</si>
  <si>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</si>
  <si>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</si>
  <si>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</si>
  <si>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</si>
  <si>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0110170</t>
  </si>
  <si>
    <t>7618800</t>
  </si>
  <si>
    <t>8800</t>
  </si>
  <si>
    <t>5010</t>
  </si>
  <si>
    <t>5020</t>
  </si>
  <si>
    <t>Проведення спортивної роботи в регіоні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</si>
  <si>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</si>
  <si>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</si>
  <si>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3200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</si>
  <si>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</si>
  <si>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</si>
  <si>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</si>
  <si>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</si>
  <si>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</si>
  <si>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Здійснення фізкультурно-спортивної та реабілітаційної роботи серед інвалідів</t>
  </si>
  <si>
    <t>2210</t>
  </si>
  <si>
    <t>Програми і централізовані заходи у галузі охорони здоров’я</t>
  </si>
  <si>
    <t>7618260</t>
  </si>
  <si>
    <t>8260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</si>
  <si>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</si>
  <si>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</si>
  <si>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</si>
  <si>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</rPr>
      <t xml:space="preserve"> (в частині міжбюджетних трансфертів, резервного фонду)(головний розпорядник)</t>
    </r>
  </si>
  <si>
    <r>
      <t xml:space="preserve">Департамент екології та природних ресурсів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</si>
  <si>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екології та природних ресурсів ОДА </t>
    </r>
    <r>
      <rPr>
        <sz val="10"/>
        <rFont val="Times New Roman"/>
        <family val="1"/>
      </rPr>
      <t>(відповідальний виконавець)</t>
    </r>
  </si>
  <si>
    <t>Підготовка робітничих кадрів професійно-технічними закладами та іншими закладами освіти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</si>
  <si>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</si>
  <si>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</si>
  <si>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5031</t>
  </si>
  <si>
    <t>Розвиток дитячо-юнацького та резервного спорту</t>
  </si>
  <si>
    <t>5030</t>
  </si>
  <si>
    <t>Фінансова підтримка дитячо-юнацьких спортивних шкіл фізкультурно-спортивних товариств</t>
  </si>
  <si>
    <t>5032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</si>
  <si>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</si>
  <si>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</si>
  <si>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Утримання центрів з інвалідного спорту і реабілітаційних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</si>
  <si>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</si>
  <si>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</si>
  <si>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</si>
  <si>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</si>
  <si>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</si>
  <si>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Реалізація державної політики у молодіжній сфері</t>
  </si>
  <si>
    <t>3141</t>
  </si>
  <si>
    <t>5050</t>
  </si>
  <si>
    <t>Підтримка фізкультурно-спортивного руху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</si>
  <si>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</si>
  <si>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r>
      <t xml:space="preserve">Департамент фінансів ОДА </t>
    </r>
    <r>
      <rPr>
        <sz val="10"/>
        <rFont val="Times New Roman"/>
        <family val="1"/>
      </rPr>
      <t>(відповідальний виконавець)</t>
    </r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</si>
  <si>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</si>
  <si>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</si>
  <si>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від 23.12.2016  № 49-9/2016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</si>
</sst>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0000"/>
    <numFmt numFmtId="195" formatCode="#,##0.00000"/>
    <numFmt numFmtId="196" formatCode="#,##0.0000"/>
    <numFmt numFmtId="197" formatCode="#,##0.000"/>
  </numFmts>
  <fonts count="53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93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86" fontId="4" fillId="0" borderId="0" xfId="43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3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>
      <alignment wrapText="1"/>
    </xf>
    <xf numFmtId="3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9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9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1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 wrapText="1" shrinkToFit="1"/>
      <protection/>
    </xf>
    <xf numFmtId="0" fontId="19" fillId="34" borderId="18" xfId="0" applyNumberFormat="1" applyFont="1" applyFill="1" applyBorder="1" applyAlignment="1" applyProtection="1">
      <alignment horizontal="center" vertical="center" wrapText="1" shrinkToFit="1"/>
      <protection/>
    </xf>
    <xf numFmtId="0" fontId="19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86" fontId="4" fillId="0" borderId="0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d%204%20&#1082;&#1088;&#1077;&#1076;&#1080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</sheetNames>
    <sheetDataSet>
      <sheetData sheetId="0">
        <row r="79">
          <cell r="D79">
            <v>6135798810</v>
          </cell>
          <cell r="E79">
            <v>157916534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5"/>
    </sheetNames>
    <sheetDataSet>
      <sheetData sheetId="0">
        <row r="21">
          <cell r="M21">
            <v>300000</v>
          </cell>
          <cell r="N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4"/>
    </sheetNames>
    <sheetDataSet>
      <sheetData sheetId="0">
        <row r="13">
          <cell r="D13">
            <v>-64687038</v>
          </cell>
          <cell r="E13">
            <v>64687038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Y137"/>
  <sheetViews>
    <sheetView tabSelected="1" view="pageBreakPreview" zoomScale="75" zoomScaleNormal="75" zoomScaleSheetLayoutView="75" zoomScalePageLayoutView="0" workbookViewId="0" topLeftCell="A1">
      <pane xSplit="5" ySplit="13" topLeftCell="F26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O6" sqref="O6"/>
    </sheetView>
  </sheetViews>
  <sheetFormatPr defaultColWidth="11.421875" defaultRowHeight="12.75"/>
  <cols>
    <col min="1" max="1" width="8.8515625" style="1" customWidth="1"/>
    <col min="2" max="2" width="8.8515625" style="55" hidden="1" customWidth="1"/>
    <col min="3" max="4" width="8.8515625" style="1" customWidth="1"/>
    <col min="5" max="5" width="34.28125" style="1" customWidth="1"/>
    <col min="6" max="7" width="13.57421875" style="28" customWidth="1"/>
    <col min="8" max="9" width="13.7109375" style="28" customWidth="1"/>
    <col min="10" max="10" width="11.7109375" style="1" customWidth="1"/>
    <col min="11" max="11" width="12.140625" style="52" customWidth="1"/>
    <col min="12" max="12" width="12.7109375" style="28" customWidth="1"/>
    <col min="13" max="13" width="12.8515625" style="28" customWidth="1"/>
    <col min="14" max="14" width="14.28125" style="28" customWidth="1"/>
    <col min="15" max="15" width="13.140625" style="28" customWidth="1"/>
    <col min="16" max="16" width="14.28125" style="28" customWidth="1"/>
    <col min="17" max="20" width="13.421875" style="7" customWidth="1"/>
    <col min="21" max="21" width="12.7109375" style="1" customWidth="1"/>
    <col min="22" max="22" width="13.421875" style="1" customWidth="1"/>
    <col min="23" max="16384" width="11.421875" style="1" customWidth="1"/>
  </cols>
  <sheetData>
    <row r="2" spans="15:20" ht="15">
      <c r="O2" s="128" t="s">
        <v>128</v>
      </c>
      <c r="P2" s="128"/>
      <c r="Q2" s="128"/>
      <c r="R2" s="27"/>
      <c r="S2" s="27"/>
      <c r="T2" s="27"/>
    </row>
    <row r="3" spans="15:20" ht="12.75">
      <c r="O3" s="129" t="s">
        <v>9</v>
      </c>
      <c r="P3" s="129"/>
      <c r="Q3" s="129"/>
      <c r="R3" s="28"/>
      <c r="S3" s="28"/>
      <c r="T3" s="28"/>
    </row>
    <row r="4" spans="15:20" ht="12.75">
      <c r="O4" s="129" t="s">
        <v>129</v>
      </c>
      <c r="P4" s="129"/>
      <c r="Q4" s="129"/>
      <c r="R4" s="28"/>
      <c r="S4" s="28"/>
      <c r="T4" s="28"/>
    </row>
    <row r="5" spans="15:20" ht="12.75">
      <c r="O5" s="130" t="s">
        <v>340</v>
      </c>
      <c r="P5" s="130"/>
      <c r="Q5" s="130"/>
      <c r="R5" s="29"/>
      <c r="S5" s="29"/>
      <c r="T5" s="29"/>
    </row>
    <row r="6" spans="15:20" ht="12.75">
      <c r="O6" s="68"/>
      <c r="P6" s="68"/>
      <c r="Q6" s="77"/>
      <c r="R6" s="22"/>
      <c r="S6" s="22"/>
      <c r="T6" s="22"/>
    </row>
    <row r="7" spans="1:25" ht="18.75">
      <c r="A7" s="120" t="s">
        <v>130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02"/>
      <c r="S7" s="102"/>
      <c r="T7" s="102"/>
      <c r="U7" s="7"/>
      <c r="V7" s="7"/>
      <c r="W7" s="7"/>
      <c r="X7" s="7"/>
      <c r="Y7" s="7"/>
    </row>
    <row r="8" spans="1:25" ht="12.75" customHeight="1">
      <c r="A8" s="7"/>
      <c r="B8" s="63"/>
      <c r="C8" s="7"/>
      <c r="D8" s="7"/>
      <c r="E8" s="7"/>
      <c r="F8" s="52"/>
      <c r="G8" s="52"/>
      <c r="H8" s="52"/>
      <c r="I8" s="52"/>
      <c r="J8" s="7"/>
      <c r="L8" s="52"/>
      <c r="M8" s="52"/>
      <c r="N8" s="52"/>
      <c r="O8" s="52"/>
      <c r="P8" s="52"/>
      <c r="Q8" s="103" t="s">
        <v>288</v>
      </c>
      <c r="R8" s="23"/>
      <c r="S8" s="23"/>
      <c r="T8" s="23"/>
      <c r="U8" s="7"/>
      <c r="V8" s="7"/>
      <c r="W8" s="7"/>
      <c r="X8" s="7"/>
      <c r="Y8" s="7"/>
    </row>
    <row r="9" spans="1:25" ht="12.75" customHeight="1">
      <c r="A9" s="113" t="s">
        <v>131</v>
      </c>
      <c r="B9" s="121" t="s">
        <v>134</v>
      </c>
      <c r="C9" s="113" t="s">
        <v>134</v>
      </c>
      <c r="D9" s="113" t="s">
        <v>135</v>
      </c>
      <c r="E9" s="110" t="s">
        <v>289</v>
      </c>
      <c r="F9" s="119" t="s">
        <v>282</v>
      </c>
      <c r="G9" s="119"/>
      <c r="H9" s="119"/>
      <c r="I9" s="119"/>
      <c r="J9" s="104"/>
      <c r="K9" s="124" t="s">
        <v>283</v>
      </c>
      <c r="L9" s="124"/>
      <c r="M9" s="124"/>
      <c r="N9" s="124"/>
      <c r="O9" s="124"/>
      <c r="P9" s="124"/>
      <c r="Q9" s="125" t="s">
        <v>5</v>
      </c>
      <c r="R9" s="52"/>
      <c r="S9" s="52"/>
      <c r="T9" s="52"/>
      <c r="U9" s="7"/>
      <c r="V9" s="7"/>
      <c r="W9" s="7"/>
      <c r="X9" s="7"/>
      <c r="Y9" s="7"/>
    </row>
    <row r="10" spans="1:25" ht="12.75" customHeight="1">
      <c r="A10" s="114"/>
      <c r="B10" s="122"/>
      <c r="C10" s="114"/>
      <c r="D10" s="114"/>
      <c r="E10" s="111"/>
      <c r="F10" s="119" t="s">
        <v>0</v>
      </c>
      <c r="G10" s="116" t="s">
        <v>132</v>
      </c>
      <c r="H10" s="119" t="s">
        <v>1</v>
      </c>
      <c r="I10" s="119"/>
      <c r="J10" s="116" t="s">
        <v>133</v>
      </c>
      <c r="K10" s="124" t="s">
        <v>0</v>
      </c>
      <c r="L10" s="116" t="s">
        <v>132</v>
      </c>
      <c r="M10" s="119" t="s">
        <v>1</v>
      </c>
      <c r="N10" s="119"/>
      <c r="O10" s="116" t="s">
        <v>133</v>
      </c>
      <c r="P10" s="104" t="s">
        <v>1</v>
      </c>
      <c r="Q10" s="126"/>
      <c r="R10" s="52"/>
      <c r="S10" s="52"/>
      <c r="T10" s="52"/>
      <c r="U10" s="7"/>
      <c r="V10" s="7"/>
      <c r="W10" s="7"/>
      <c r="X10" s="7"/>
      <c r="Y10" s="7"/>
    </row>
    <row r="11" spans="1:25" ht="12.75" customHeight="1">
      <c r="A11" s="114"/>
      <c r="B11" s="122"/>
      <c r="C11" s="114"/>
      <c r="D11" s="114"/>
      <c r="E11" s="112"/>
      <c r="F11" s="119"/>
      <c r="G11" s="117"/>
      <c r="H11" s="119" t="s">
        <v>2</v>
      </c>
      <c r="I11" s="119" t="s">
        <v>3</v>
      </c>
      <c r="J11" s="117"/>
      <c r="K11" s="124"/>
      <c r="L11" s="117"/>
      <c r="M11" s="119" t="s">
        <v>2</v>
      </c>
      <c r="N11" s="119" t="s">
        <v>3</v>
      </c>
      <c r="O11" s="117"/>
      <c r="P11" s="119" t="s">
        <v>4</v>
      </c>
      <c r="Q11" s="126"/>
      <c r="R11" s="52"/>
      <c r="S11" s="52"/>
      <c r="T11" s="52"/>
      <c r="U11" s="7"/>
      <c r="V11" s="7"/>
      <c r="W11" s="7"/>
      <c r="X11" s="7"/>
      <c r="Y11" s="7"/>
    </row>
    <row r="12" spans="1:25" ht="49.5" customHeight="1">
      <c r="A12" s="115"/>
      <c r="B12" s="123"/>
      <c r="C12" s="115"/>
      <c r="D12" s="115"/>
      <c r="E12" s="80" t="s">
        <v>290</v>
      </c>
      <c r="F12" s="119"/>
      <c r="G12" s="118"/>
      <c r="H12" s="119"/>
      <c r="I12" s="119"/>
      <c r="J12" s="118"/>
      <c r="K12" s="124"/>
      <c r="L12" s="118"/>
      <c r="M12" s="119"/>
      <c r="N12" s="119"/>
      <c r="O12" s="118"/>
      <c r="P12" s="119"/>
      <c r="Q12" s="127"/>
      <c r="R12" s="52"/>
      <c r="S12" s="52"/>
      <c r="T12" s="52"/>
      <c r="U12" s="7"/>
      <c r="V12" s="7"/>
      <c r="W12" s="7"/>
      <c r="X12" s="7"/>
      <c r="Y12" s="7"/>
    </row>
    <row r="13" spans="1:25" s="54" customFormat="1" ht="15">
      <c r="A13" s="105">
        <v>1</v>
      </c>
      <c r="B13" s="106">
        <v>2</v>
      </c>
      <c r="C13" s="105">
        <v>2</v>
      </c>
      <c r="D13" s="105">
        <v>3</v>
      </c>
      <c r="E13" s="105">
        <v>4</v>
      </c>
      <c r="F13" s="105">
        <v>5</v>
      </c>
      <c r="G13" s="105">
        <v>6</v>
      </c>
      <c r="H13" s="105">
        <v>7</v>
      </c>
      <c r="I13" s="105">
        <v>8</v>
      </c>
      <c r="J13" s="105">
        <v>9</v>
      </c>
      <c r="K13" s="105">
        <v>10</v>
      </c>
      <c r="L13" s="105">
        <v>11</v>
      </c>
      <c r="M13" s="105">
        <v>12</v>
      </c>
      <c r="N13" s="105">
        <v>13</v>
      </c>
      <c r="O13" s="105">
        <v>14</v>
      </c>
      <c r="P13" s="105">
        <v>15</v>
      </c>
      <c r="Q13" s="105" t="s">
        <v>136</v>
      </c>
      <c r="R13" s="107"/>
      <c r="S13" s="107"/>
      <c r="T13" s="107"/>
      <c r="U13" s="107"/>
      <c r="V13" s="107"/>
      <c r="W13" s="107"/>
      <c r="X13" s="107"/>
      <c r="Y13" s="107"/>
    </row>
    <row r="14" spans="1:25" s="10" customFormat="1" ht="25.5">
      <c r="A14" s="5" t="s">
        <v>7</v>
      </c>
      <c r="B14" s="56" t="s">
        <v>6</v>
      </c>
      <c r="C14" s="5"/>
      <c r="D14" s="5"/>
      <c r="E14" s="31" t="s">
        <v>311</v>
      </c>
      <c r="F14" s="49">
        <f>G14+J14</f>
        <v>12269300</v>
      </c>
      <c r="G14" s="49">
        <f>G15</f>
        <v>12269300</v>
      </c>
      <c r="H14" s="49">
        <f>H15</f>
        <v>4466500</v>
      </c>
      <c r="I14" s="49">
        <f>I15</f>
        <v>2358300</v>
      </c>
      <c r="J14" s="49">
        <f>J15</f>
        <v>0</v>
      </c>
      <c r="K14" s="49">
        <f aca="true" t="shared" si="0" ref="K14:K41">L14+O14</f>
        <v>71793128</v>
      </c>
      <c r="L14" s="49">
        <f>L15</f>
        <v>150000</v>
      </c>
      <c r="M14" s="49">
        <f>M15</f>
        <v>0</v>
      </c>
      <c r="N14" s="49">
        <f>N15</f>
        <v>0</v>
      </c>
      <c r="O14" s="49">
        <f>O15</f>
        <v>71643128</v>
      </c>
      <c r="P14" s="49">
        <f>P15</f>
        <v>59705438</v>
      </c>
      <c r="Q14" s="16">
        <f>F14+K14</f>
        <v>84062428</v>
      </c>
      <c r="R14" s="76">
        <f>F14</f>
        <v>12269300</v>
      </c>
      <c r="S14" s="76">
        <f>P14</f>
        <v>59705438</v>
      </c>
      <c r="T14" s="76">
        <f>R14+S14</f>
        <v>71974738</v>
      </c>
      <c r="U14" s="6">
        <f>P14+F14</f>
        <v>71974738</v>
      </c>
      <c r="V14" s="9">
        <f>T14-U14</f>
        <v>0</v>
      </c>
      <c r="W14" s="9">
        <f>K14-P14</f>
        <v>12087690</v>
      </c>
      <c r="X14" s="10">
        <v>150000</v>
      </c>
      <c r="Y14" s="9">
        <f>W14-X14</f>
        <v>11937690</v>
      </c>
    </row>
    <row r="15" spans="1:25" s="10" customFormat="1" ht="38.25">
      <c r="A15" s="5" t="s">
        <v>8</v>
      </c>
      <c r="B15" s="56"/>
      <c r="C15" s="5"/>
      <c r="D15" s="5"/>
      <c r="E15" s="31" t="s">
        <v>312</v>
      </c>
      <c r="F15" s="49">
        <f>SUM(F16:F18)</f>
        <v>12269300</v>
      </c>
      <c r="G15" s="49">
        <f>SUM(G16:G18)</f>
        <v>12269300</v>
      </c>
      <c r="H15" s="49">
        <f>SUM(H16:H18)</f>
        <v>4466500</v>
      </c>
      <c r="I15" s="49">
        <f>SUM(I16:I18)</f>
        <v>2358300</v>
      </c>
      <c r="J15" s="49">
        <f>SUM(J16:J18)</f>
        <v>0</v>
      </c>
      <c r="K15" s="49">
        <f t="shared" si="0"/>
        <v>71793128</v>
      </c>
      <c r="L15" s="49">
        <f>SUM(L16:L18)</f>
        <v>150000</v>
      </c>
      <c r="M15" s="49">
        <f>SUM(M16:M18)</f>
        <v>0</v>
      </c>
      <c r="N15" s="49">
        <f>SUM(N16:N18)</f>
        <v>0</v>
      </c>
      <c r="O15" s="49">
        <f>SUM(O16:O18)</f>
        <v>71643128</v>
      </c>
      <c r="P15" s="49">
        <f>SUM(P16:P18)</f>
        <v>59705438</v>
      </c>
      <c r="Q15" s="16">
        <f>F15+K15</f>
        <v>84062428</v>
      </c>
      <c r="R15" s="76"/>
      <c r="S15" s="76"/>
      <c r="T15" s="76"/>
      <c r="U15" s="6"/>
      <c r="V15" s="9"/>
      <c r="W15" s="9"/>
      <c r="Y15" s="9"/>
    </row>
    <row r="16" spans="1:25" s="7" customFormat="1" ht="38.25">
      <c r="A16" s="8" t="s">
        <v>291</v>
      </c>
      <c r="B16" s="57" t="s">
        <v>84</v>
      </c>
      <c r="C16" s="8" t="s">
        <v>179</v>
      </c>
      <c r="D16" s="8" t="s">
        <v>180</v>
      </c>
      <c r="E16" s="32" t="s">
        <v>181</v>
      </c>
      <c r="F16" s="26">
        <f>G16+J16</f>
        <v>10799100</v>
      </c>
      <c r="G16" s="26">
        <v>10799100</v>
      </c>
      <c r="H16" s="26">
        <v>4466500</v>
      </c>
      <c r="I16" s="26">
        <v>2358300</v>
      </c>
      <c r="J16" s="17"/>
      <c r="K16" s="26">
        <f t="shared" si="0"/>
        <v>150000</v>
      </c>
      <c r="L16" s="26">
        <v>150000</v>
      </c>
      <c r="M16" s="49"/>
      <c r="N16" s="26"/>
      <c r="O16" s="26">
        <f>P16</f>
        <v>0</v>
      </c>
      <c r="P16" s="26"/>
      <c r="Q16" s="16">
        <f>F16+K16</f>
        <v>10949100</v>
      </c>
      <c r="R16" s="76"/>
      <c r="S16" s="76"/>
      <c r="T16" s="76"/>
      <c r="U16" s="6"/>
      <c r="V16" s="9"/>
      <c r="W16" s="9"/>
      <c r="Y16" s="9"/>
    </row>
    <row r="17" spans="1:25" s="7" customFormat="1" ht="25.5" customHeight="1">
      <c r="A17" s="20" t="s">
        <v>119</v>
      </c>
      <c r="B17" s="58" t="s">
        <v>52</v>
      </c>
      <c r="C17" s="20" t="s">
        <v>190</v>
      </c>
      <c r="D17" s="20" t="s">
        <v>152</v>
      </c>
      <c r="E17" s="33" t="s">
        <v>191</v>
      </c>
      <c r="F17" s="26">
        <f aca="true" t="shared" si="1" ref="F17:F41">G17+J17</f>
        <v>500000</v>
      </c>
      <c r="G17" s="26">
        <v>500000</v>
      </c>
      <c r="H17" s="49"/>
      <c r="I17" s="49"/>
      <c r="J17" s="16"/>
      <c r="K17" s="26">
        <f t="shared" si="0"/>
        <v>0</v>
      </c>
      <c r="L17" s="49"/>
      <c r="M17" s="49"/>
      <c r="N17" s="49"/>
      <c r="O17" s="26">
        <f>P17</f>
        <v>0</v>
      </c>
      <c r="P17" s="49"/>
      <c r="Q17" s="16">
        <f aca="true" t="shared" si="2" ref="Q17:Q75">F17+K17</f>
        <v>500000</v>
      </c>
      <c r="R17" s="76"/>
      <c r="S17" s="76"/>
      <c r="T17" s="76"/>
      <c r="U17" s="6"/>
      <c r="V17" s="9"/>
      <c r="W17" s="9"/>
      <c r="Y17" s="9"/>
    </row>
    <row r="18" spans="1:25" s="98" customFormat="1" ht="12.75">
      <c r="A18" s="8" t="s">
        <v>120</v>
      </c>
      <c r="B18" s="57" t="s">
        <v>74</v>
      </c>
      <c r="C18" s="8" t="s">
        <v>192</v>
      </c>
      <c r="D18" s="8" t="s">
        <v>194</v>
      </c>
      <c r="E18" s="32" t="s">
        <v>193</v>
      </c>
      <c r="F18" s="26">
        <f t="shared" si="1"/>
        <v>970200</v>
      </c>
      <c r="G18" s="108">
        <v>970200</v>
      </c>
      <c r="H18" s="108"/>
      <c r="I18" s="108"/>
      <c r="J18" s="109"/>
      <c r="K18" s="26">
        <f t="shared" si="0"/>
        <v>71643128</v>
      </c>
      <c r="L18" s="108"/>
      <c r="M18" s="108"/>
      <c r="N18" s="26"/>
      <c r="O18" s="26">
        <f>P18+11937690</f>
        <v>71643128</v>
      </c>
      <c r="P18" s="108">
        <f>222000+55987348+4356790+2163000+284600+1500000-4981600+173300</f>
        <v>59705438</v>
      </c>
      <c r="Q18" s="16">
        <f t="shared" si="2"/>
        <v>72613328</v>
      </c>
      <c r="R18" s="76"/>
      <c r="S18" s="76"/>
      <c r="T18" s="76"/>
      <c r="U18" s="6"/>
      <c r="V18" s="9"/>
      <c r="W18" s="9"/>
      <c r="X18" s="7"/>
      <c r="Y18" s="9"/>
    </row>
    <row r="19" spans="1:25" s="10" customFormat="1" ht="38.25">
      <c r="A19" s="5" t="s">
        <v>85</v>
      </c>
      <c r="B19" s="56" t="s">
        <v>86</v>
      </c>
      <c r="C19" s="5"/>
      <c r="D19" s="5"/>
      <c r="E19" s="37" t="s">
        <v>182</v>
      </c>
      <c r="F19" s="49">
        <f t="shared" si="1"/>
        <v>559000</v>
      </c>
      <c r="G19" s="49">
        <f aca="true" t="shared" si="3" ref="G19:P19">G20</f>
        <v>559000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0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3"/>
        <v>0</v>
      </c>
      <c r="P19" s="49">
        <f t="shared" si="3"/>
        <v>0</v>
      </c>
      <c r="Q19" s="16">
        <f t="shared" si="2"/>
        <v>559000</v>
      </c>
      <c r="R19" s="76"/>
      <c r="S19" s="76"/>
      <c r="T19" s="76"/>
      <c r="U19" s="6"/>
      <c r="V19" s="9"/>
      <c r="W19" s="9"/>
      <c r="Y19" s="9"/>
    </row>
    <row r="20" spans="1:25" s="10" customFormat="1" ht="38.25">
      <c r="A20" s="5" t="s">
        <v>87</v>
      </c>
      <c r="B20" s="56"/>
      <c r="C20" s="5"/>
      <c r="D20" s="5"/>
      <c r="E20" s="37" t="s">
        <v>183</v>
      </c>
      <c r="F20" s="49">
        <f t="shared" si="1"/>
        <v>559000</v>
      </c>
      <c r="G20" s="49">
        <f>SUM(G21)</f>
        <v>559000</v>
      </c>
      <c r="H20" s="49">
        <f>SUM(H21)</f>
        <v>0</v>
      </c>
      <c r="I20" s="49">
        <f>SUM(I21)</f>
        <v>0</v>
      </c>
      <c r="J20" s="49">
        <f>SUM(J21)</f>
        <v>0</v>
      </c>
      <c r="K20" s="49">
        <f t="shared" si="0"/>
        <v>0</v>
      </c>
      <c r="L20" s="49">
        <f>SUM(L21)</f>
        <v>0</v>
      </c>
      <c r="M20" s="49">
        <f>SUM(M21)</f>
        <v>0</v>
      </c>
      <c r="N20" s="49">
        <f>SUM(N21)</f>
        <v>0</v>
      </c>
      <c r="O20" s="49">
        <f>SUM(O21)</f>
        <v>0</v>
      </c>
      <c r="P20" s="49">
        <f>SUM(P21)</f>
        <v>0</v>
      </c>
      <c r="Q20" s="16">
        <f t="shared" si="2"/>
        <v>559000</v>
      </c>
      <c r="R20" s="76"/>
      <c r="S20" s="76"/>
      <c r="T20" s="76"/>
      <c r="U20" s="6"/>
      <c r="V20" s="9"/>
      <c r="W20" s="9"/>
      <c r="Y20" s="9"/>
    </row>
    <row r="21" spans="1:25" s="7" customFormat="1" ht="12.75">
      <c r="A21" s="8" t="s">
        <v>126</v>
      </c>
      <c r="B21" s="57" t="s">
        <v>74</v>
      </c>
      <c r="C21" s="8" t="s">
        <v>192</v>
      </c>
      <c r="D21" s="8" t="s">
        <v>194</v>
      </c>
      <c r="E21" s="32" t="s">
        <v>193</v>
      </c>
      <c r="F21" s="26">
        <f t="shared" si="1"/>
        <v>559000</v>
      </c>
      <c r="G21" s="65">
        <v>559000</v>
      </c>
      <c r="H21" s="26"/>
      <c r="I21" s="26"/>
      <c r="J21" s="17"/>
      <c r="K21" s="26">
        <f t="shared" si="0"/>
        <v>0</v>
      </c>
      <c r="L21" s="26"/>
      <c r="M21" s="26"/>
      <c r="N21" s="26"/>
      <c r="O21" s="26"/>
      <c r="P21" s="49"/>
      <c r="Q21" s="16">
        <f t="shared" si="2"/>
        <v>559000</v>
      </c>
      <c r="R21" s="76"/>
      <c r="S21" s="76"/>
      <c r="T21" s="76"/>
      <c r="U21" s="6"/>
      <c r="V21" s="9"/>
      <c r="W21" s="9"/>
      <c r="Y21" s="9"/>
    </row>
    <row r="22" spans="1:25" s="10" customFormat="1" ht="25.5">
      <c r="A22" s="3">
        <v>1000000</v>
      </c>
      <c r="B22" s="56" t="s">
        <v>10</v>
      </c>
      <c r="C22" s="24"/>
      <c r="D22" s="24"/>
      <c r="E22" s="37" t="s">
        <v>177</v>
      </c>
      <c r="F22" s="49">
        <f t="shared" si="1"/>
        <v>529313600</v>
      </c>
      <c r="G22" s="49">
        <f aca="true" t="shared" si="4" ref="G22:Q22">G23</f>
        <v>529313600</v>
      </c>
      <c r="H22" s="49">
        <f t="shared" si="4"/>
        <v>268405900</v>
      </c>
      <c r="I22" s="49">
        <f t="shared" si="4"/>
        <v>41514600</v>
      </c>
      <c r="J22" s="49">
        <f t="shared" si="4"/>
        <v>0</v>
      </c>
      <c r="K22" s="49">
        <f t="shared" si="0"/>
        <v>41048884</v>
      </c>
      <c r="L22" s="49">
        <f t="shared" si="4"/>
        <v>39799504</v>
      </c>
      <c r="M22" s="49">
        <f t="shared" si="4"/>
        <v>4652653</v>
      </c>
      <c r="N22" s="49">
        <f t="shared" si="4"/>
        <v>1939043</v>
      </c>
      <c r="O22" s="49">
        <f t="shared" si="4"/>
        <v>1249380</v>
      </c>
      <c r="P22" s="49">
        <f t="shared" si="4"/>
        <v>0</v>
      </c>
      <c r="Q22" s="16">
        <f t="shared" si="4"/>
        <v>570362484</v>
      </c>
      <c r="R22" s="76">
        <f>F22</f>
        <v>529313600</v>
      </c>
      <c r="S22" s="76">
        <f>P22</f>
        <v>0</v>
      </c>
      <c r="T22" s="76">
        <f>R22+S22</f>
        <v>529313600</v>
      </c>
      <c r="U22" s="6">
        <f>P22+F22</f>
        <v>529313600</v>
      </c>
      <c r="V22" s="9">
        <f>T22-U22</f>
        <v>0</v>
      </c>
      <c r="W22" s="9">
        <f>K22-P22</f>
        <v>41048884</v>
      </c>
      <c r="X22" s="10">
        <v>40999384</v>
      </c>
      <c r="Y22" s="9">
        <f>W22-X22</f>
        <v>49500</v>
      </c>
    </row>
    <row r="23" spans="1:25" s="10" customFormat="1" ht="25.5">
      <c r="A23" s="3">
        <v>1010000</v>
      </c>
      <c r="B23" s="56"/>
      <c r="C23" s="24"/>
      <c r="D23" s="24"/>
      <c r="E23" s="37" t="s">
        <v>178</v>
      </c>
      <c r="F23" s="49">
        <f t="shared" si="1"/>
        <v>529313600</v>
      </c>
      <c r="G23" s="49">
        <f>SUM(G24:G35)+G36+G38</f>
        <v>529313600</v>
      </c>
      <c r="H23" s="49">
        <f>SUM(H24:H35)+H36+H38</f>
        <v>268405900</v>
      </c>
      <c r="I23" s="49">
        <f>SUM(I24:I35)+I36+I38</f>
        <v>41514600</v>
      </c>
      <c r="J23" s="49">
        <f>SUM(J24:J35)+J36+J38</f>
        <v>0</v>
      </c>
      <c r="K23" s="49">
        <f t="shared" si="0"/>
        <v>41048884</v>
      </c>
      <c r="L23" s="49">
        <f>SUM(L24:L35)+L36+L38</f>
        <v>39799504</v>
      </c>
      <c r="M23" s="49">
        <f>SUM(M24:M35)+M36+M38</f>
        <v>4652653</v>
      </c>
      <c r="N23" s="49">
        <f>SUM(N24:N35)+N36+N38</f>
        <v>1939043</v>
      </c>
      <c r="O23" s="49">
        <f>SUM(O24:O35)+O36+O38</f>
        <v>1249380</v>
      </c>
      <c r="P23" s="49">
        <f>SUM(P24:P35)+P36+P38</f>
        <v>0</v>
      </c>
      <c r="Q23" s="16">
        <f t="shared" si="2"/>
        <v>570362484</v>
      </c>
      <c r="R23" s="76"/>
      <c r="S23" s="76"/>
      <c r="T23" s="76"/>
      <c r="U23" s="6"/>
      <c r="V23" s="9"/>
      <c r="W23" s="9"/>
      <c r="Y23" s="9"/>
    </row>
    <row r="24" spans="1:25" s="7" customFormat="1" ht="51.75" thickBot="1">
      <c r="A24" s="4">
        <v>1011040</v>
      </c>
      <c r="B24" s="57" t="s">
        <v>11</v>
      </c>
      <c r="C24" s="8" t="s">
        <v>143</v>
      </c>
      <c r="D24" s="8" t="s">
        <v>145</v>
      </c>
      <c r="E24" s="64" t="s">
        <v>144</v>
      </c>
      <c r="F24" s="26">
        <f t="shared" si="1"/>
        <v>50295200</v>
      </c>
      <c r="G24" s="66">
        <v>50295200</v>
      </c>
      <c r="H24" s="66">
        <v>25796200</v>
      </c>
      <c r="I24" s="66">
        <v>5235600</v>
      </c>
      <c r="J24" s="18"/>
      <c r="K24" s="26">
        <f t="shared" si="0"/>
        <v>352036</v>
      </c>
      <c r="L24" s="66">
        <v>340036</v>
      </c>
      <c r="M24" s="66">
        <v>66000</v>
      </c>
      <c r="N24" s="66">
        <v>9200</v>
      </c>
      <c r="O24" s="66">
        <v>12000</v>
      </c>
      <c r="P24" s="26"/>
      <c r="Q24" s="16">
        <f t="shared" si="2"/>
        <v>50647236</v>
      </c>
      <c r="R24" s="76"/>
      <c r="S24" s="76"/>
      <c r="T24" s="76"/>
      <c r="U24" s="6"/>
      <c r="V24" s="9"/>
      <c r="W24" s="9"/>
      <c r="Y24" s="9"/>
    </row>
    <row r="25" spans="1:25" s="7" customFormat="1" ht="76.5">
      <c r="A25" s="4">
        <v>1011060</v>
      </c>
      <c r="B25" s="57" t="s">
        <v>12</v>
      </c>
      <c r="C25" s="8" t="s">
        <v>146</v>
      </c>
      <c r="D25" s="8" t="s">
        <v>147</v>
      </c>
      <c r="E25" s="34" t="s">
        <v>338</v>
      </c>
      <c r="F25" s="26">
        <f t="shared" si="1"/>
        <v>12072300</v>
      </c>
      <c r="G25" s="66">
        <v>12072300</v>
      </c>
      <c r="H25" s="66">
        <v>6585800</v>
      </c>
      <c r="I25" s="66">
        <v>873800</v>
      </c>
      <c r="J25" s="18"/>
      <c r="K25" s="26">
        <f t="shared" si="0"/>
        <v>45000</v>
      </c>
      <c r="L25" s="66">
        <v>45000</v>
      </c>
      <c r="M25" s="66"/>
      <c r="N25" s="66">
        <v>3500</v>
      </c>
      <c r="O25" s="66"/>
      <c r="P25" s="66"/>
      <c r="Q25" s="16">
        <f t="shared" si="2"/>
        <v>12117300</v>
      </c>
      <c r="R25" s="76"/>
      <c r="S25" s="76"/>
      <c r="T25" s="76"/>
      <c r="U25" s="6"/>
      <c r="V25" s="9"/>
      <c r="W25" s="9"/>
      <c r="Y25" s="9"/>
    </row>
    <row r="26" spans="1:25" s="7" customFormat="1" ht="85.5" customHeight="1">
      <c r="A26" s="4">
        <v>1011070</v>
      </c>
      <c r="B26" s="57" t="s">
        <v>13</v>
      </c>
      <c r="C26" s="8" t="s">
        <v>148</v>
      </c>
      <c r="D26" s="8" t="s">
        <v>145</v>
      </c>
      <c r="E26" s="34" t="s">
        <v>149</v>
      </c>
      <c r="F26" s="26">
        <f t="shared" si="1"/>
        <v>116808700</v>
      </c>
      <c r="G26" s="66">
        <f>116801800+6900</f>
        <v>116808700</v>
      </c>
      <c r="H26" s="66">
        <f>72665600+6900</f>
        <v>72672500</v>
      </c>
      <c r="I26" s="66">
        <v>6364800</v>
      </c>
      <c r="J26" s="18"/>
      <c r="K26" s="26">
        <f t="shared" si="0"/>
        <v>90195</v>
      </c>
      <c r="L26" s="66">
        <v>83905</v>
      </c>
      <c r="M26" s="66">
        <v>1500</v>
      </c>
      <c r="N26" s="66"/>
      <c r="O26" s="66">
        <v>6290</v>
      </c>
      <c r="P26" s="26"/>
      <c r="Q26" s="16">
        <f t="shared" si="2"/>
        <v>116898895</v>
      </c>
      <c r="R26" s="76"/>
      <c r="S26" s="76"/>
      <c r="T26" s="76"/>
      <c r="U26" s="6"/>
      <c r="V26" s="9"/>
      <c r="W26" s="9"/>
      <c r="Y26" s="9"/>
    </row>
    <row r="27" spans="1:25" s="7" customFormat="1" ht="123" customHeight="1">
      <c r="A27" s="4">
        <v>1011080</v>
      </c>
      <c r="B27" s="57" t="s">
        <v>14</v>
      </c>
      <c r="C27" s="8" t="s">
        <v>150</v>
      </c>
      <c r="D27" s="8" t="s">
        <v>145</v>
      </c>
      <c r="E27" s="34" t="s">
        <v>151</v>
      </c>
      <c r="F27" s="26">
        <f t="shared" si="1"/>
        <v>68745800</v>
      </c>
      <c r="G27" s="66">
        <v>68745800</v>
      </c>
      <c r="H27" s="66">
        <v>32978200</v>
      </c>
      <c r="I27" s="26">
        <v>6228400</v>
      </c>
      <c r="J27" s="17"/>
      <c r="K27" s="26">
        <f t="shared" si="0"/>
        <v>438700</v>
      </c>
      <c r="L27" s="66">
        <v>438700</v>
      </c>
      <c r="M27" s="66"/>
      <c r="N27" s="26">
        <v>36000</v>
      </c>
      <c r="O27" s="66"/>
      <c r="P27" s="66"/>
      <c r="Q27" s="16">
        <f t="shared" si="2"/>
        <v>69184500</v>
      </c>
      <c r="R27" s="76"/>
      <c r="S27" s="76"/>
      <c r="T27" s="76"/>
      <c r="U27" s="6"/>
      <c r="V27" s="9"/>
      <c r="W27" s="9"/>
      <c r="Y27" s="9"/>
    </row>
    <row r="28" spans="1:25" s="7" customFormat="1" ht="38.25">
      <c r="A28" s="4">
        <v>1011090</v>
      </c>
      <c r="B28" s="57" t="s">
        <v>15</v>
      </c>
      <c r="C28" s="8" t="s">
        <v>152</v>
      </c>
      <c r="D28" s="8" t="s">
        <v>153</v>
      </c>
      <c r="E28" s="34" t="s">
        <v>154</v>
      </c>
      <c r="F28" s="26">
        <f t="shared" si="1"/>
        <v>27028600</v>
      </c>
      <c r="G28" s="66">
        <v>27028600</v>
      </c>
      <c r="H28" s="66">
        <v>17804700</v>
      </c>
      <c r="I28" s="66">
        <v>3002600</v>
      </c>
      <c r="J28" s="18"/>
      <c r="K28" s="26">
        <f t="shared" si="0"/>
        <v>869000</v>
      </c>
      <c r="L28" s="66">
        <v>839000</v>
      </c>
      <c r="M28" s="66">
        <f>238000+4000</f>
        <v>242000</v>
      </c>
      <c r="N28" s="66">
        <f>89900-4500</f>
        <v>85400</v>
      </c>
      <c r="O28" s="66">
        <f>30000+P28</f>
        <v>30000</v>
      </c>
      <c r="P28" s="26"/>
      <c r="Q28" s="16">
        <f t="shared" si="2"/>
        <v>27897600</v>
      </c>
      <c r="R28" s="76"/>
      <c r="S28" s="76"/>
      <c r="T28" s="76"/>
      <c r="U28" s="6"/>
      <c r="V28" s="9"/>
      <c r="W28" s="9"/>
      <c r="Y28" s="9"/>
    </row>
    <row r="29" spans="1:25" s="7" customFormat="1" ht="38.25">
      <c r="A29" s="4">
        <v>1011100</v>
      </c>
      <c r="B29" s="57" t="s">
        <v>16</v>
      </c>
      <c r="C29" s="8" t="s">
        <v>155</v>
      </c>
      <c r="D29" s="8" t="s">
        <v>156</v>
      </c>
      <c r="E29" s="34" t="s">
        <v>316</v>
      </c>
      <c r="F29" s="26">
        <f t="shared" si="1"/>
        <v>169241900</v>
      </c>
      <c r="G29" s="66">
        <f>169116200+125700</f>
        <v>169241900</v>
      </c>
      <c r="H29" s="66">
        <f>97390000+103200</f>
        <v>97493200</v>
      </c>
      <c r="I29" s="66">
        <v>18037200</v>
      </c>
      <c r="J29" s="18"/>
      <c r="K29" s="26">
        <f t="shared" si="0"/>
        <v>15233903</v>
      </c>
      <c r="L29" s="66">
        <v>14225303</v>
      </c>
      <c r="M29" s="66">
        <v>3855153</v>
      </c>
      <c r="N29" s="66">
        <v>1591843</v>
      </c>
      <c r="O29" s="66">
        <f>1008600+P29</f>
        <v>1008600</v>
      </c>
      <c r="P29" s="26"/>
      <c r="Q29" s="16">
        <f t="shared" si="2"/>
        <v>184475803</v>
      </c>
      <c r="R29" s="76"/>
      <c r="S29" s="76"/>
      <c r="T29" s="76"/>
      <c r="U29" s="6"/>
      <c r="V29" s="9"/>
      <c r="W29" s="9"/>
      <c r="Y29" s="9"/>
    </row>
    <row r="30" spans="1:25" s="7" customFormat="1" ht="25.5">
      <c r="A30" s="4">
        <v>1011130</v>
      </c>
      <c r="B30" s="57" t="s">
        <v>17</v>
      </c>
      <c r="C30" s="8" t="s">
        <v>157</v>
      </c>
      <c r="D30" s="8" t="s">
        <v>158</v>
      </c>
      <c r="E30" s="34" t="s">
        <v>159</v>
      </c>
      <c r="F30" s="26">
        <f t="shared" si="1"/>
        <v>52113400</v>
      </c>
      <c r="G30" s="66">
        <v>52113400</v>
      </c>
      <c r="H30" s="66"/>
      <c r="I30" s="66"/>
      <c r="J30" s="18"/>
      <c r="K30" s="26">
        <f t="shared" si="0"/>
        <v>22986800</v>
      </c>
      <c r="L30" s="66">
        <v>22836800</v>
      </c>
      <c r="M30" s="66"/>
      <c r="N30" s="66"/>
      <c r="O30" s="66">
        <v>150000</v>
      </c>
      <c r="P30" s="26"/>
      <c r="Q30" s="16">
        <f t="shared" si="2"/>
        <v>75100200</v>
      </c>
      <c r="R30" s="76"/>
      <c r="S30" s="76"/>
      <c r="T30" s="76"/>
      <c r="U30" s="6"/>
      <c r="V30" s="9"/>
      <c r="W30" s="9"/>
      <c r="Y30" s="9"/>
    </row>
    <row r="31" spans="1:25" s="7" customFormat="1" ht="63.75">
      <c r="A31" s="4">
        <v>1011140</v>
      </c>
      <c r="B31" s="57" t="s">
        <v>18</v>
      </c>
      <c r="C31" s="8" t="s">
        <v>160</v>
      </c>
      <c r="D31" s="8" t="s">
        <v>161</v>
      </c>
      <c r="E31" s="36" t="s">
        <v>162</v>
      </c>
      <c r="F31" s="26">
        <f t="shared" si="1"/>
        <v>15443400</v>
      </c>
      <c r="G31" s="66">
        <v>15443400</v>
      </c>
      <c r="H31" s="66">
        <v>11216400</v>
      </c>
      <c r="I31" s="66">
        <v>660000</v>
      </c>
      <c r="J31" s="18"/>
      <c r="K31" s="26">
        <f t="shared" si="0"/>
        <v>238250</v>
      </c>
      <c r="L31" s="66">
        <v>200760</v>
      </c>
      <c r="M31" s="66">
        <v>78000</v>
      </c>
      <c r="N31" s="66">
        <v>13100</v>
      </c>
      <c r="O31" s="66">
        <v>37490</v>
      </c>
      <c r="P31" s="26"/>
      <c r="Q31" s="16">
        <f t="shared" si="2"/>
        <v>15681650</v>
      </c>
      <c r="R31" s="76"/>
      <c r="S31" s="76"/>
      <c r="T31" s="76"/>
      <c r="U31" s="6"/>
      <c r="V31" s="9"/>
      <c r="W31" s="9"/>
      <c r="Y31" s="9"/>
    </row>
    <row r="32" spans="1:25" s="7" customFormat="1" ht="38.25">
      <c r="A32" s="4">
        <v>1011170</v>
      </c>
      <c r="B32" s="57" t="s">
        <v>19</v>
      </c>
      <c r="C32" s="8" t="s">
        <v>163</v>
      </c>
      <c r="D32" s="8" t="s">
        <v>164</v>
      </c>
      <c r="E32" s="36" t="s">
        <v>20</v>
      </c>
      <c r="F32" s="26">
        <f t="shared" si="1"/>
        <v>50000</v>
      </c>
      <c r="G32" s="66">
        <v>50000</v>
      </c>
      <c r="H32" s="66"/>
      <c r="I32" s="66"/>
      <c r="J32" s="18"/>
      <c r="K32" s="26">
        <f t="shared" si="0"/>
        <v>0</v>
      </c>
      <c r="L32" s="66"/>
      <c r="M32" s="66"/>
      <c r="N32" s="66"/>
      <c r="O32" s="66"/>
      <c r="P32" s="26"/>
      <c r="Q32" s="16">
        <f t="shared" si="2"/>
        <v>50000</v>
      </c>
      <c r="R32" s="76"/>
      <c r="S32" s="76"/>
      <c r="T32" s="76"/>
      <c r="U32" s="6"/>
      <c r="V32" s="9"/>
      <c r="W32" s="9"/>
      <c r="Y32" s="9"/>
    </row>
    <row r="33" spans="1:25" s="7" customFormat="1" ht="25.5">
      <c r="A33" s="4">
        <v>1011190</v>
      </c>
      <c r="B33" s="57" t="s">
        <v>21</v>
      </c>
      <c r="C33" s="8" t="s">
        <v>165</v>
      </c>
      <c r="D33" s="8" t="s">
        <v>164</v>
      </c>
      <c r="E33" s="36" t="s">
        <v>22</v>
      </c>
      <c r="F33" s="26">
        <f t="shared" si="1"/>
        <v>859300</v>
      </c>
      <c r="G33" s="66">
        <v>859300</v>
      </c>
      <c r="H33" s="66">
        <v>639700</v>
      </c>
      <c r="I33" s="66">
        <v>23900</v>
      </c>
      <c r="J33" s="18"/>
      <c r="K33" s="26">
        <f t="shared" si="0"/>
        <v>50000</v>
      </c>
      <c r="L33" s="66">
        <v>45000</v>
      </c>
      <c r="M33" s="66">
        <v>10000</v>
      </c>
      <c r="N33" s="66"/>
      <c r="O33" s="66">
        <v>5000</v>
      </c>
      <c r="P33" s="26"/>
      <c r="Q33" s="16">
        <f t="shared" si="2"/>
        <v>909300</v>
      </c>
      <c r="R33" s="76"/>
      <c r="S33" s="76"/>
      <c r="T33" s="76"/>
      <c r="U33" s="6"/>
      <c r="V33" s="9"/>
      <c r="W33" s="9"/>
      <c r="Y33" s="9"/>
    </row>
    <row r="34" spans="1:25" s="7" customFormat="1" ht="12.75">
      <c r="A34" s="4">
        <v>1011210</v>
      </c>
      <c r="B34" s="57" t="s">
        <v>26</v>
      </c>
      <c r="C34" s="8" t="s">
        <v>166</v>
      </c>
      <c r="D34" s="8" t="s">
        <v>164</v>
      </c>
      <c r="E34" s="36" t="s">
        <v>167</v>
      </c>
      <c r="F34" s="26">
        <f t="shared" si="1"/>
        <v>9782700</v>
      </c>
      <c r="G34" s="66">
        <f>4523000+5259700</f>
        <v>9782700</v>
      </c>
      <c r="H34" s="66">
        <v>2254100</v>
      </c>
      <c r="I34" s="66">
        <v>1082400</v>
      </c>
      <c r="J34" s="18"/>
      <c r="K34" s="26">
        <f t="shared" si="0"/>
        <v>745000</v>
      </c>
      <c r="L34" s="66">
        <v>745000</v>
      </c>
      <c r="M34" s="66">
        <v>400000</v>
      </c>
      <c r="N34" s="66">
        <v>200000</v>
      </c>
      <c r="O34" s="66"/>
      <c r="P34" s="26"/>
      <c r="Q34" s="16">
        <f t="shared" si="2"/>
        <v>10527700</v>
      </c>
      <c r="R34" s="76"/>
      <c r="S34" s="76"/>
      <c r="T34" s="76"/>
      <c r="U34" s="6"/>
      <c r="V34" s="9"/>
      <c r="W34" s="9"/>
      <c r="Y34" s="9"/>
    </row>
    <row r="35" spans="1:25" s="7" customFormat="1" ht="76.5">
      <c r="A35" s="4">
        <v>1013160</v>
      </c>
      <c r="B35" s="57" t="s">
        <v>91</v>
      </c>
      <c r="C35" s="8" t="s">
        <v>168</v>
      </c>
      <c r="D35" s="8" t="s">
        <v>143</v>
      </c>
      <c r="E35" s="34" t="s">
        <v>169</v>
      </c>
      <c r="F35" s="26">
        <f t="shared" si="1"/>
        <v>4624700</v>
      </c>
      <c r="G35" s="66">
        <v>4624700</v>
      </c>
      <c r="H35" s="66"/>
      <c r="I35" s="66"/>
      <c r="J35" s="18"/>
      <c r="K35" s="26">
        <f t="shared" si="0"/>
        <v>0</v>
      </c>
      <c r="L35" s="66"/>
      <c r="M35" s="66"/>
      <c r="N35" s="66"/>
      <c r="O35" s="66"/>
      <c r="P35" s="26"/>
      <c r="Q35" s="16">
        <f t="shared" si="2"/>
        <v>4624700</v>
      </c>
      <c r="R35" s="76"/>
      <c r="S35" s="76"/>
      <c r="T35" s="76"/>
      <c r="U35" s="6"/>
      <c r="V35" s="9"/>
      <c r="W35" s="9"/>
      <c r="Y35" s="9"/>
    </row>
    <row r="36" spans="1:25" s="7" customFormat="1" ht="18" customHeight="1">
      <c r="A36" s="4">
        <v>1015010</v>
      </c>
      <c r="B36" s="57"/>
      <c r="C36" s="8" t="s">
        <v>294</v>
      </c>
      <c r="D36" s="8"/>
      <c r="E36" s="34" t="s">
        <v>296</v>
      </c>
      <c r="F36" s="26">
        <f t="shared" si="1"/>
        <v>844700</v>
      </c>
      <c r="G36" s="66">
        <f>G37</f>
        <v>844700</v>
      </c>
      <c r="H36" s="66">
        <f>H37</f>
        <v>0</v>
      </c>
      <c r="I36" s="66">
        <f>I37</f>
        <v>0</v>
      </c>
      <c r="J36" s="66">
        <f>J37</f>
        <v>0</v>
      </c>
      <c r="K36" s="26">
        <f t="shared" si="0"/>
        <v>0</v>
      </c>
      <c r="L36" s="66">
        <f>L37</f>
        <v>0</v>
      </c>
      <c r="M36" s="66">
        <f>M37</f>
        <v>0</v>
      </c>
      <c r="N36" s="66">
        <f>N37</f>
        <v>0</v>
      </c>
      <c r="O36" s="66">
        <f>O37</f>
        <v>0</v>
      </c>
      <c r="P36" s="66">
        <f>P37</f>
        <v>0</v>
      </c>
      <c r="Q36" s="16">
        <f t="shared" si="2"/>
        <v>844700</v>
      </c>
      <c r="R36" s="76"/>
      <c r="S36" s="76"/>
      <c r="T36" s="76"/>
      <c r="U36" s="6"/>
      <c r="V36" s="9"/>
      <c r="W36" s="9"/>
      <c r="Y36" s="9"/>
    </row>
    <row r="37" spans="1:25" s="92" customFormat="1" ht="38.25">
      <c r="A37" s="82">
        <v>1015011</v>
      </c>
      <c r="B37" s="83" t="s">
        <v>23</v>
      </c>
      <c r="C37" s="84" t="s">
        <v>170</v>
      </c>
      <c r="D37" s="84" t="s">
        <v>171</v>
      </c>
      <c r="E37" s="85" t="s">
        <v>317</v>
      </c>
      <c r="F37" s="86">
        <f t="shared" si="1"/>
        <v>844700</v>
      </c>
      <c r="G37" s="87">
        <v>844700</v>
      </c>
      <c r="H37" s="87"/>
      <c r="I37" s="87"/>
      <c r="J37" s="88"/>
      <c r="K37" s="86">
        <f t="shared" si="0"/>
        <v>0</v>
      </c>
      <c r="L37" s="87"/>
      <c r="M37" s="87"/>
      <c r="N37" s="87"/>
      <c r="O37" s="87"/>
      <c r="P37" s="86"/>
      <c r="Q37" s="89">
        <f t="shared" si="2"/>
        <v>844700</v>
      </c>
      <c r="R37" s="90"/>
      <c r="S37" s="90"/>
      <c r="T37" s="90"/>
      <c r="U37" s="101"/>
      <c r="V37" s="91"/>
      <c r="W37" s="91"/>
      <c r="Y37" s="91"/>
    </row>
    <row r="38" spans="1:25" s="98" customFormat="1" ht="25.5">
      <c r="A38" s="4">
        <v>1015030</v>
      </c>
      <c r="B38" s="57"/>
      <c r="C38" s="8" t="s">
        <v>321</v>
      </c>
      <c r="D38" s="8"/>
      <c r="E38" s="36" t="s">
        <v>320</v>
      </c>
      <c r="F38" s="26">
        <f t="shared" si="1"/>
        <v>1402900</v>
      </c>
      <c r="G38" s="66">
        <f>G39</f>
        <v>1402900</v>
      </c>
      <c r="H38" s="66">
        <f aca="true" t="shared" si="5" ref="H38:P38">H39</f>
        <v>965100</v>
      </c>
      <c r="I38" s="66">
        <f t="shared" si="5"/>
        <v>5900</v>
      </c>
      <c r="J38" s="66">
        <f t="shared" si="5"/>
        <v>0</v>
      </c>
      <c r="K38" s="26">
        <f t="shared" si="0"/>
        <v>0</v>
      </c>
      <c r="L38" s="66">
        <f t="shared" si="5"/>
        <v>0</v>
      </c>
      <c r="M38" s="66">
        <f t="shared" si="5"/>
        <v>0</v>
      </c>
      <c r="N38" s="66">
        <f t="shared" si="5"/>
        <v>0</v>
      </c>
      <c r="O38" s="66">
        <f t="shared" si="5"/>
        <v>0</v>
      </c>
      <c r="P38" s="66">
        <f t="shared" si="5"/>
        <v>0</v>
      </c>
      <c r="Q38" s="89">
        <f t="shared" si="2"/>
        <v>1402900</v>
      </c>
      <c r="R38" s="76"/>
      <c r="S38" s="76"/>
      <c r="T38" s="76"/>
      <c r="U38" s="6"/>
      <c r="V38" s="9"/>
      <c r="W38" s="9"/>
      <c r="X38" s="7"/>
      <c r="Y38" s="9"/>
    </row>
    <row r="39" spans="1:25" s="99" customFormat="1" ht="38.25">
      <c r="A39" s="82">
        <v>1015031</v>
      </c>
      <c r="B39" s="83" t="s">
        <v>24</v>
      </c>
      <c r="C39" s="84" t="s">
        <v>319</v>
      </c>
      <c r="D39" s="84" t="s">
        <v>171</v>
      </c>
      <c r="E39" s="85" t="s">
        <v>318</v>
      </c>
      <c r="F39" s="86">
        <f t="shared" si="1"/>
        <v>1402900</v>
      </c>
      <c r="G39" s="87">
        <v>1402900</v>
      </c>
      <c r="H39" s="87">
        <v>965100</v>
      </c>
      <c r="I39" s="87">
        <v>5900</v>
      </c>
      <c r="J39" s="88"/>
      <c r="K39" s="86">
        <f t="shared" si="0"/>
        <v>0</v>
      </c>
      <c r="L39" s="87"/>
      <c r="M39" s="87"/>
      <c r="N39" s="87"/>
      <c r="O39" s="87"/>
      <c r="P39" s="86"/>
      <c r="Q39" s="89">
        <f t="shared" si="2"/>
        <v>1402900</v>
      </c>
      <c r="R39" s="90"/>
      <c r="S39" s="90"/>
      <c r="T39" s="90"/>
      <c r="U39" s="101"/>
      <c r="V39" s="91"/>
      <c r="W39" s="91"/>
      <c r="X39" s="92"/>
      <c r="Y39" s="91"/>
    </row>
    <row r="40" spans="1:25" s="10" customFormat="1" ht="25.5">
      <c r="A40" s="3">
        <v>1400000</v>
      </c>
      <c r="B40" s="56" t="s">
        <v>27</v>
      </c>
      <c r="C40" s="24"/>
      <c r="D40" s="24"/>
      <c r="E40" s="12" t="s">
        <v>187</v>
      </c>
      <c r="F40" s="49">
        <f t="shared" si="1"/>
        <v>913453720</v>
      </c>
      <c r="G40" s="49">
        <f>G41</f>
        <v>913453720</v>
      </c>
      <c r="H40" s="49">
        <f>H41</f>
        <v>473863200</v>
      </c>
      <c r="I40" s="49">
        <f>I41</f>
        <v>56633450</v>
      </c>
      <c r="J40" s="49">
        <f>J41</f>
        <v>0</v>
      </c>
      <c r="K40" s="49">
        <f t="shared" si="0"/>
        <v>33006310</v>
      </c>
      <c r="L40" s="49">
        <f>L41</f>
        <v>27261210</v>
      </c>
      <c r="M40" s="49">
        <f>M41</f>
        <v>3361300</v>
      </c>
      <c r="N40" s="49">
        <f>N41</f>
        <v>791700</v>
      </c>
      <c r="O40" s="49">
        <f>O41</f>
        <v>5745100</v>
      </c>
      <c r="P40" s="49">
        <f>P41</f>
        <v>4981600</v>
      </c>
      <c r="Q40" s="16">
        <f t="shared" si="2"/>
        <v>946460030</v>
      </c>
      <c r="R40" s="76">
        <f>F40</f>
        <v>913453720</v>
      </c>
      <c r="S40" s="76">
        <f>P40</f>
        <v>4981600</v>
      </c>
      <c r="T40" s="76">
        <f>R40+S40</f>
        <v>918435320</v>
      </c>
      <c r="U40" s="6">
        <f>P40+F40</f>
        <v>918435320</v>
      </c>
      <c r="V40" s="9">
        <f>T40-U40</f>
        <v>0</v>
      </c>
      <c r="W40" s="9">
        <f>K40-P40</f>
        <v>28024710</v>
      </c>
      <c r="X40" s="10">
        <v>28024710</v>
      </c>
      <c r="Y40" s="9">
        <f>W40-X40</f>
        <v>0</v>
      </c>
    </row>
    <row r="41" spans="1:25" s="10" customFormat="1" ht="25.5">
      <c r="A41" s="3">
        <v>1410000</v>
      </c>
      <c r="B41" s="56"/>
      <c r="C41" s="24"/>
      <c r="D41" s="24"/>
      <c r="E41" s="12" t="s">
        <v>184</v>
      </c>
      <c r="F41" s="49">
        <f t="shared" si="1"/>
        <v>913453720</v>
      </c>
      <c r="G41" s="49">
        <f>SUM(G42:G54)+G56+G59+G60+G61+G62</f>
        <v>913453720</v>
      </c>
      <c r="H41" s="49">
        <f>SUM(H42:H54)+H56+H59+H60+H61+H62</f>
        <v>473863200</v>
      </c>
      <c r="I41" s="49">
        <f>SUM(I42:I54)+I56+I59+I60+I61+I62</f>
        <v>56633450</v>
      </c>
      <c r="J41" s="49">
        <f>SUM(J42:J54)+J56+J59+J60+J61+J62</f>
        <v>0</v>
      </c>
      <c r="K41" s="49">
        <f t="shared" si="0"/>
        <v>33006310</v>
      </c>
      <c r="L41" s="49">
        <f>SUM(L42:L54)+L56+L59+L60+L61+L62</f>
        <v>27261210</v>
      </c>
      <c r="M41" s="49">
        <f>SUM(M42:M54)+M56+M59+M60+M61+M62</f>
        <v>3361300</v>
      </c>
      <c r="N41" s="49">
        <f>SUM(N42:N54)+N56+N59+N60+N61+N62</f>
        <v>791700</v>
      </c>
      <c r="O41" s="49">
        <f>SUM(O42:O54)+O56+O59+O60+O61+O62</f>
        <v>5745100</v>
      </c>
      <c r="P41" s="49">
        <f>SUM(P42:P54)+P56+P59+P60+P61+P62</f>
        <v>4981600</v>
      </c>
      <c r="Q41" s="16">
        <f t="shared" si="2"/>
        <v>946460030</v>
      </c>
      <c r="R41" s="76"/>
      <c r="S41" s="76"/>
      <c r="T41" s="76"/>
      <c r="U41" s="6"/>
      <c r="V41" s="9"/>
      <c r="W41" s="9"/>
      <c r="Y41" s="9"/>
    </row>
    <row r="42" spans="1:25" s="7" customFormat="1" ht="25.5">
      <c r="A42" s="4">
        <v>1411120</v>
      </c>
      <c r="B42" s="57" t="s">
        <v>28</v>
      </c>
      <c r="C42" s="8" t="s">
        <v>204</v>
      </c>
      <c r="D42" s="8" t="s">
        <v>205</v>
      </c>
      <c r="E42" s="34" t="s">
        <v>232</v>
      </c>
      <c r="F42" s="26">
        <f aca="true" t="shared" si="6" ref="F42:F78">G42+J42</f>
        <v>39906900</v>
      </c>
      <c r="G42" s="66">
        <v>39906900</v>
      </c>
      <c r="H42" s="66"/>
      <c r="I42" s="49"/>
      <c r="J42" s="16"/>
      <c r="K42" s="26">
        <f aca="true" t="shared" si="7" ref="K42:K78">L42+O42</f>
        <v>18597100</v>
      </c>
      <c r="L42" s="66">
        <v>18217100</v>
      </c>
      <c r="M42" s="66"/>
      <c r="N42" s="66"/>
      <c r="O42" s="66">
        <f>+P42+380000</f>
        <v>380000</v>
      </c>
      <c r="P42" s="26"/>
      <c r="Q42" s="16">
        <f aca="true" t="shared" si="8" ref="Q42:Q62">F42+K42</f>
        <v>58504000</v>
      </c>
      <c r="R42" s="76"/>
      <c r="S42" s="76"/>
      <c r="T42" s="76"/>
      <c r="U42" s="6"/>
      <c r="V42" s="9"/>
      <c r="W42" s="9"/>
      <c r="Y42" s="9"/>
    </row>
    <row r="43" spans="1:25" s="7" customFormat="1" ht="25.5">
      <c r="A43" s="4">
        <v>1412010</v>
      </c>
      <c r="B43" s="57" t="s">
        <v>29</v>
      </c>
      <c r="C43" s="8" t="s">
        <v>206</v>
      </c>
      <c r="D43" s="8" t="s">
        <v>207</v>
      </c>
      <c r="E43" s="34" t="s">
        <v>30</v>
      </c>
      <c r="F43" s="26">
        <f t="shared" si="6"/>
        <v>213537420</v>
      </c>
      <c r="G43" s="66">
        <f>200932600+I43</f>
        <v>213537420</v>
      </c>
      <c r="H43" s="66">
        <v>98181500</v>
      </c>
      <c r="I43" s="26">
        <v>12604820</v>
      </c>
      <c r="J43" s="17"/>
      <c r="K43" s="26">
        <f t="shared" si="7"/>
        <v>2192660</v>
      </c>
      <c r="L43" s="66">
        <v>2192660</v>
      </c>
      <c r="M43" s="66">
        <v>671400</v>
      </c>
      <c r="N43" s="26">
        <v>56800</v>
      </c>
      <c r="O43" s="66">
        <f>P43</f>
        <v>0</v>
      </c>
      <c r="P43" s="66"/>
      <c r="Q43" s="16">
        <f t="shared" si="8"/>
        <v>215730080</v>
      </c>
      <c r="R43" s="76"/>
      <c r="S43" s="76"/>
      <c r="T43" s="76"/>
      <c r="U43" s="6"/>
      <c r="V43" s="9"/>
      <c r="W43" s="9"/>
      <c r="Y43" s="9"/>
    </row>
    <row r="44" spans="1:25" s="7" customFormat="1" ht="25.5">
      <c r="A44" s="4">
        <v>1412030</v>
      </c>
      <c r="B44" s="57" t="s">
        <v>31</v>
      </c>
      <c r="C44" s="8" t="s">
        <v>208</v>
      </c>
      <c r="D44" s="8" t="s">
        <v>209</v>
      </c>
      <c r="E44" s="34" t="s">
        <v>32</v>
      </c>
      <c r="F44" s="26">
        <f t="shared" si="6"/>
        <v>316590500</v>
      </c>
      <c r="G44" s="66">
        <f>284847200+I44</f>
        <v>316590500</v>
      </c>
      <c r="H44" s="66">
        <v>179440800</v>
      </c>
      <c r="I44" s="26">
        <v>31743300</v>
      </c>
      <c r="J44" s="17"/>
      <c r="K44" s="26">
        <f t="shared" si="7"/>
        <v>2230150</v>
      </c>
      <c r="L44" s="66">
        <v>2070150</v>
      </c>
      <c r="M44" s="66">
        <v>371100</v>
      </c>
      <c r="N44" s="26">
        <v>349600</v>
      </c>
      <c r="O44" s="66">
        <f>160000+P44</f>
        <v>160000</v>
      </c>
      <c r="P44" s="26"/>
      <c r="Q44" s="16">
        <f t="shared" si="8"/>
        <v>318820650</v>
      </c>
      <c r="R44" s="76"/>
      <c r="S44" s="76"/>
      <c r="T44" s="76"/>
      <c r="U44" s="6"/>
      <c r="V44" s="9"/>
      <c r="W44" s="9"/>
      <c r="Y44" s="9"/>
    </row>
    <row r="45" spans="1:25" s="7" customFormat="1" ht="25.5">
      <c r="A45" s="4">
        <v>1412060</v>
      </c>
      <c r="B45" s="57" t="s">
        <v>33</v>
      </c>
      <c r="C45" s="8" t="s">
        <v>210</v>
      </c>
      <c r="D45" s="8" t="s">
        <v>211</v>
      </c>
      <c r="E45" s="34" t="s">
        <v>34</v>
      </c>
      <c r="F45" s="26">
        <f t="shared" si="6"/>
        <v>8612000</v>
      </c>
      <c r="G45" s="66">
        <f>7794800+I45</f>
        <v>8612000</v>
      </c>
      <c r="H45" s="66">
        <v>4697700</v>
      </c>
      <c r="I45" s="66">
        <v>817200</v>
      </c>
      <c r="J45" s="18"/>
      <c r="K45" s="26">
        <f t="shared" si="7"/>
        <v>0</v>
      </c>
      <c r="L45" s="66"/>
      <c r="M45" s="66"/>
      <c r="N45" s="66"/>
      <c r="O45" s="66">
        <f>P45</f>
        <v>0</v>
      </c>
      <c r="P45" s="26"/>
      <c r="Q45" s="16">
        <f t="shared" si="8"/>
        <v>8612000</v>
      </c>
      <c r="R45" s="76"/>
      <c r="S45" s="76"/>
      <c r="T45" s="76"/>
      <c r="U45" s="6"/>
      <c r="V45" s="9"/>
      <c r="W45" s="9"/>
      <c r="Y45" s="9"/>
    </row>
    <row r="46" spans="1:25" s="7" customFormat="1" ht="38.25">
      <c r="A46" s="4">
        <v>1412070</v>
      </c>
      <c r="B46" s="57" t="s">
        <v>35</v>
      </c>
      <c r="C46" s="8" t="s">
        <v>212</v>
      </c>
      <c r="D46" s="8" t="s">
        <v>211</v>
      </c>
      <c r="E46" s="34" t="s">
        <v>36</v>
      </c>
      <c r="F46" s="26">
        <f t="shared" si="6"/>
        <v>17972900</v>
      </c>
      <c r="G46" s="66">
        <f>15709300+I46</f>
        <v>17972900</v>
      </c>
      <c r="H46" s="66">
        <v>10194800</v>
      </c>
      <c r="I46" s="26">
        <v>2263600</v>
      </c>
      <c r="J46" s="17"/>
      <c r="K46" s="26">
        <f t="shared" si="7"/>
        <v>38200</v>
      </c>
      <c r="L46" s="66">
        <v>38200</v>
      </c>
      <c r="M46" s="66"/>
      <c r="N46" s="26"/>
      <c r="O46" s="66">
        <f>P46</f>
        <v>0</v>
      </c>
      <c r="P46" s="26"/>
      <c r="Q46" s="16">
        <f t="shared" si="8"/>
        <v>18011100</v>
      </c>
      <c r="R46" s="76"/>
      <c r="S46" s="76"/>
      <c r="T46" s="76"/>
      <c r="U46" s="6"/>
      <c r="V46" s="9"/>
      <c r="W46" s="9"/>
      <c r="Y46" s="9"/>
    </row>
    <row r="47" spans="1:25" s="7" customFormat="1" ht="38.25">
      <c r="A47" s="4">
        <v>1412090</v>
      </c>
      <c r="B47" s="57" t="s">
        <v>37</v>
      </c>
      <c r="C47" s="8" t="s">
        <v>213</v>
      </c>
      <c r="D47" s="8" t="s">
        <v>214</v>
      </c>
      <c r="E47" s="34" t="s">
        <v>233</v>
      </c>
      <c r="F47" s="26">
        <f t="shared" si="6"/>
        <v>14192400</v>
      </c>
      <c r="G47" s="66">
        <f>12501800+I47</f>
        <v>14192400</v>
      </c>
      <c r="H47" s="66">
        <v>8225100</v>
      </c>
      <c r="I47" s="66">
        <v>1690600</v>
      </c>
      <c r="J47" s="18"/>
      <c r="K47" s="26">
        <f t="shared" si="7"/>
        <v>0</v>
      </c>
      <c r="L47" s="66"/>
      <c r="M47" s="66"/>
      <c r="N47" s="66"/>
      <c r="O47" s="66">
        <f>P47</f>
        <v>0</v>
      </c>
      <c r="P47" s="26"/>
      <c r="Q47" s="16">
        <f t="shared" si="8"/>
        <v>14192400</v>
      </c>
      <c r="R47" s="76"/>
      <c r="S47" s="76"/>
      <c r="T47" s="76"/>
      <c r="U47" s="6"/>
      <c r="V47" s="9"/>
      <c r="W47" s="9"/>
      <c r="Y47" s="9"/>
    </row>
    <row r="48" spans="1:25" s="7" customFormat="1" ht="12.75">
      <c r="A48" s="4">
        <v>1412100</v>
      </c>
      <c r="B48" s="57" t="s">
        <v>38</v>
      </c>
      <c r="C48" s="8" t="s">
        <v>215</v>
      </c>
      <c r="D48" s="8" t="s">
        <v>216</v>
      </c>
      <c r="E48" s="34" t="s">
        <v>39</v>
      </c>
      <c r="F48" s="26">
        <f t="shared" si="6"/>
        <v>16966800</v>
      </c>
      <c r="G48" s="66">
        <f>15487500+I48</f>
        <v>16966800</v>
      </c>
      <c r="H48" s="66">
        <v>9938600</v>
      </c>
      <c r="I48" s="66">
        <v>1479300</v>
      </c>
      <c r="J48" s="18"/>
      <c r="K48" s="26">
        <f t="shared" si="7"/>
        <v>150000</v>
      </c>
      <c r="L48" s="66">
        <v>93500</v>
      </c>
      <c r="M48" s="66"/>
      <c r="N48" s="66"/>
      <c r="O48" s="66">
        <f>56500+P48</f>
        <v>56500</v>
      </c>
      <c r="P48" s="26"/>
      <c r="Q48" s="16">
        <f t="shared" si="8"/>
        <v>17116800</v>
      </c>
      <c r="R48" s="76"/>
      <c r="S48" s="76"/>
      <c r="T48" s="76"/>
      <c r="U48" s="6"/>
      <c r="V48" s="9"/>
      <c r="W48" s="9"/>
      <c r="Y48" s="9"/>
    </row>
    <row r="49" spans="1:25" s="7" customFormat="1" ht="25.5">
      <c r="A49" s="4">
        <v>1412110</v>
      </c>
      <c r="B49" s="57" t="s">
        <v>112</v>
      </c>
      <c r="C49" s="25" t="s">
        <v>217</v>
      </c>
      <c r="D49" s="25" t="s">
        <v>218</v>
      </c>
      <c r="E49" s="15" t="s">
        <v>234</v>
      </c>
      <c r="F49" s="26">
        <f t="shared" si="6"/>
        <v>164827000</v>
      </c>
      <c r="G49" s="66">
        <f>162050800+I49</f>
        <v>164827000</v>
      </c>
      <c r="H49" s="66">
        <v>115857900</v>
      </c>
      <c r="I49" s="26">
        <v>2776200</v>
      </c>
      <c r="J49" s="17"/>
      <c r="K49" s="26">
        <f t="shared" si="7"/>
        <v>118000</v>
      </c>
      <c r="L49" s="66">
        <v>118000</v>
      </c>
      <c r="M49" s="66"/>
      <c r="N49" s="49"/>
      <c r="O49" s="66">
        <f>P49</f>
        <v>0</v>
      </c>
      <c r="P49" s="26"/>
      <c r="Q49" s="16">
        <f t="shared" si="8"/>
        <v>164945000</v>
      </c>
      <c r="R49" s="76"/>
      <c r="S49" s="76"/>
      <c r="T49" s="76"/>
      <c r="U49" s="6"/>
      <c r="V49" s="9"/>
      <c r="W49" s="9"/>
      <c r="Y49" s="9"/>
    </row>
    <row r="50" spans="1:25" s="7" customFormat="1" ht="25.5">
      <c r="A50" s="4">
        <v>1412130</v>
      </c>
      <c r="B50" s="57" t="s">
        <v>40</v>
      </c>
      <c r="C50" s="8" t="s">
        <v>219</v>
      </c>
      <c r="D50" s="8" t="s">
        <v>220</v>
      </c>
      <c r="E50" s="34" t="s">
        <v>41</v>
      </c>
      <c r="F50" s="26">
        <f t="shared" si="6"/>
        <v>14194200</v>
      </c>
      <c r="G50" s="66">
        <f>13571200+I50</f>
        <v>14194200</v>
      </c>
      <c r="H50" s="66">
        <v>9702500</v>
      </c>
      <c r="I50" s="26">
        <v>623000</v>
      </c>
      <c r="J50" s="17"/>
      <c r="K50" s="26">
        <f t="shared" si="7"/>
        <v>251000</v>
      </c>
      <c r="L50" s="66">
        <v>234000</v>
      </c>
      <c r="M50" s="66">
        <v>118000</v>
      </c>
      <c r="N50" s="66">
        <v>6000</v>
      </c>
      <c r="O50" s="66">
        <f>17000+P50</f>
        <v>17000</v>
      </c>
      <c r="P50" s="26"/>
      <c r="Q50" s="16">
        <f t="shared" si="8"/>
        <v>14445200</v>
      </c>
      <c r="R50" s="76"/>
      <c r="S50" s="76"/>
      <c r="T50" s="76"/>
      <c r="U50" s="6"/>
      <c r="V50" s="9"/>
      <c r="W50" s="9"/>
      <c r="Y50" s="9"/>
    </row>
    <row r="51" spans="1:25" s="7" customFormat="1" ht="25.5">
      <c r="A51" s="4">
        <v>1412140</v>
      </c>
      <c r="B51" s="57" t="s">
        <v>42</v>
      </c>
      <c r="C51" s="8" t="s">
        <v>221</v>
      </c>
      <c r="D51" s="8" t="s">
        <v>220</v>
      </c>
      <c r="E51" s="34" t="s">
        <v>43</v>
      </c>
      <c r="F51" s="26">
        <f t="shared" si="6"/>
        <v>8791200</v>
      </c>
      <c r="G51" s="66">
        <f>8404000+I51</f>
        <v>8791200</v>
      </c>
      <c r="H51" s="66">
        <v>6193300</v>
      </c>
      <c r="I51" s="26">
        <v>387200</v>
      </c>
      <c r="J51" s="17"/>
      <c r="K51" s="26">
        <f t="shared" si="7"/>
        <v>4361500</v>
      </c>
      <c r="L51" s="66">
        <v>4211500</v>
      </c>
      <c r="M51" s="66">
        <v>2192000</v>
      </c>
      <c r="N51" s="26">
        <v>378800</v>
      </c>
      <c r="O51" s="66">
        <f>150000+P51</f>
        <v>150000</v>
      </c>
      <c r="P51" s="26"/>
      <c r="Q51" s="16">
        <f t="shared" si="8"/>
        <v>13152700</v>
      </c>
      <c r="R51" s="76"/>
      <c r="S51" s="76"/>
      <c r="T51" s="76"/>
      <c r="U51" s="6"/>
      <c r="V51" s="9"/>
      <c r="W51" s="9"/>
      <c r="Y51" s="9"/>
    </row>
    <row r="52" spans="1:25" s="7" customFormat="1" ht="38.25">
      <c r="A52" s="4">
        <v>1412170</v>
      </c>
      <c r="B52" s="57" t="s">
        <v>44</v>
      </c>
      <c r="C52" s="8" t="s">
        <v>222</v>
      </c>
      <c r="D52" s="8" t="s">
        <v>223</v>
      </c>
      <c r="E52" s="34" t="s">
        <v>235</v>
      </c>
      <c r="F52" s="26">
        <f t="shared" si="6"/>
        <v>1335300</v>
      </c>
      <c r="G52" s="66">
        <f>1284500+I52</f>
        <v>1335300</v>
      </c>
      <c r="H52" s="66">
        <v>948700</v>
      </c>
      <c r="I52" s="26">
        <v>50800</v>
      </c>
      <c r="J52" s="17"/>
      <c r="K52" s="26">
        <f t="shared" si="7"/>
        <v>0</v>
      </c>
      <c r="L52" s="66"/>
      <c r="M52" s="66"/>
      <c r="N52" s="49"/>
      <c r="O52" s="66">
        <f>P52</f>
        <v>0</v>
      </c>
      <c r="P52" s="66"/>
      <c r="Q52" s="16">
        <f t="shared" si="8"/>
        <v>1335300</v>
      </c>
      <c r="R52" s="76"/>
      <c r="S52" s="76"/>
      <c r="T52" s="76"/>
      <c r="U52" s="6"/>
      <c r="V52" s="9"/>
      <c r="W52" s="9"/>
      <c r="Y52" s="9"/>
    </row>
    <row r="53" spans="1:25" s="7" customFormat="1" ht="25.5">
      <c r="A53" s="4">
        <v>1412190</v>
      </c>
      <c r="B53" s="57" t="s">
        <v>45</v>
      </c>
      <c r="C53" s="8" t="s">
        <v>224</v>
      </c>
      <c r="D53" s="8" t="s">
        <v>225</v>
      </c>
      <c r="E53" s="70" t="s">
        <v>46</v>
      </c>
      <c r="F53" s="26">
        <f t="shared" si="6"/>
        <v>7916800</v>
      </c>
      <c r="G53" s="66">
        <f>7539200+I53</f>
        <v>7916800</v>
      </c>
      <c r="H53" s="66">
        <v>5849500</v>
      </c>
      <c r="I53" s="66">
        <v>377600</v>
      </c>
      <c r="J53" s="18"/>
      <c r="K53" s="26">
        <f t="shared" si="7"/>
        <v>0</v>
      </c>
      <c r="L53" s="66"/>
      <c r="M53" s="66"/>
      <c r="N53" s="66"/>
      <c r="O53" s="66">
        <f>P53</f>
        <v>0</v>
      </c>
      <c r="P53" s="66"/>
      <c r="Q53" s="16">
        <f t="shared" si="8"/>
        <v>7916800</v>
      </c>
      <c r="R53" s="76"/>
      <c r="S53" s="76"/>
      <c r="T53" s="76"/>
      <c r="U53" s="6"/>
      <c r="V53" s="9"/>
      <c r="W53" s="9"/>
      <c r="Y53" s="9"/>
    </row>
    <row r="54" spans="1:25" s="7" customFormat="1" ht="63.75">
      <c r="A54" s="4">
        <v>1412200</v>
      </c>
      <c r="B54" s="57" t="s">
        <v>115</v>
      </c>
      <c r="C54" s="8" t="s">
        <v>226</v>
      </c>
      <c r="D54" s="8" t="s">
        <v>225</v>
      </c>
      <c r="E54" s="71" t="s">
        <v>236</v>
      </c>
      <c r="F54" s="26">
        <f t="shared" si="6"/>
        <v>648800</v>
      </c>
      <c r="G54" s="66">
        <v>648800</v>
      </c>
      <c r="H54" s="66">
        <v>530600</v>
      </c>
      <c r="I54" s="66">
        <v>7570</v>
      </c>
      <c r="J54" s="18"/>
      <c r="K54" s="26">
        <f t="shared" si="7"/>
        <v>0</v>
      </c>
      <c r="L54" s="66"/>
      <c r="M54" s="66"/>
      <c r="N54" s="66"/>
      <c r="O54" s="66"/>
      <c r="P54" s="26"/>
      <c r="Q54" s="16">
        <f t="shared" si="8"/>
        <v>648800</v>
      </c>
      <c r="R54" s="76"/>
      <c r="S54" s="76"/>
      <c r="T54" s="76"/>
      <c r="U54" s="6"/>
      <c r="V54" s="9"/>
      <c r="W54" s="9"/>
      <c r="Y54" s="9"/>
    </row>
    <row r="55" spans="1:25" s="7" customFormat="1" ht="25.5" hidden="1">
      <c r="A55" s="4">
        <v>1412212</v>
      </c>
      <c r="B55" s="57" t="s">
        <v>113</v>
      </c>
      <c r="C55" s="8" t="s">
        <v>227</v>
      </c>
      <c r="D55" s="8" t="s">
        <v>225</v>
      </c>
      <c r="E55" s="71" t="s">
        <v>122</v>
      </c>
      <c r="F55" s="26">
        <f t="shared" si="6"/>
        <v>0</v>
      </c>
      <c r="G55" s="66"/>
      <c r="H55" s="66"/>
      <c r="I55" s="66"/>
      <c r="J55" s="18"/>
      <c r="K55" s="26">
        <f t="shared" si="7"/>
        <v>0</v>
      </c>
      <c r="L55" s="66"/>
      <c r="M55" s="66"/>
      <c r="N55" s="66"/>
      <c r="O55" s="66"/>
      <c r="P55" s="26"/>
      <c r="Q55" s="16">
        <f t="shared" si="8"/>
        <v>0</v>
      </c>
      <c r="R55" s="76"/>
      <c r="S55" s="76"/>
      <c r="T55" s="76"/>
      <c r="U55" s="6"/>
      <c r="V55" s="9"/>
      <c r="W55" s="9"/>
      <c r="Y55" s="9"/>
    </row>
    <row r="56" spans="1:25" s="7" customFormat="1" ht="25.5">
      <c r="A56" s="4">
        <v>1412210</v>
      </c>
      <c r="B56" s="57"/>
      <c r="C56" s="8" t="s">
        <v>306</v>
      </c>
      <c r="D56" s="8"/>
      <c r="E56" s="96" t="s">
        <v>307</v>
      </c>
      <c r="F56" s="26">
        <f t="shared" si="6"/>
        <v>22723500</v>
      </c>
      <c r="G56" s="66">
        <f>G57</f>
        <v>22723500</v>
      </c>
      <c r="H56" s="66">
        <f>H57</f>
        <v>0</v>
      </c>
      <c r="I56" s="66">
        <f>I57</f>
        <v>0</v>
      </c>
      <c r="J56" s="66">
        <f>J57</f>
        <v>0</v>
      </c>
      <c r="K56" s="26">
        <f t="shared" si="7"/>
        <v>0</v>
      </c>
      <c r="L56" s="66">
        <f>L57</f>
        <v>0</v>
      </c>
      <c r="M56" s="66">
        <f>M57</f>
        <v>0</v>
      </c>
      <c r="N56" s="66">
        <f>N57</f>
        <v>0</v>
      </c>
      <c r="O56" s="66">
        <f>O57</f>
        <v>0</v>
      </c>
      <c r="P56" s="66">
        <f>P57</f>
        <v>0</v>
      </c>
      <c r="Q56" s="16">
        <f t="shared" si="8"/>
        <v>22723500</v>
      </c>
      <c r="R56" s="76"/>
      <c r="S56" s="76"/>
      <c r="T56" s="76"/>
      <c r="U56" s="6"/>
      <c r="V56" s="9"/>
      <c r="W56" s="9"/>
      <c r="Y56" s="9"/>
    </row>
    <row r="57" spans="1:25" s="92" customFormat="1" ht="38.25">
      <c r="A57" s="82">
        <v>1412214</v>
      </c>
      <c r="B57" s="83" t="s">
        <v>47</v>
      </c>
      <c r="C57" s="84" t="s">
        <v>228</v>
      </c>
      <c r="D57" s="84" t="s">
        <v>225</v>
      </c>
      <c r="E57" s="97" t="s">
        <v>48</v>
      </c>
      <c r="F57" s="86">
        <f t="shared" si="6"/>
        <v>22723500</v>
      </c>
      <c r="G57" s="87">
        <v>22723500</v>
      </c>
      <c r="H57" s="86"/>
      <c r="I57" s="86"/>
      <c r="J57" s="93"/>
      <c r="K57" s="86">
        <f t="shared" si="7"/>
        <v>0</v>
      </c>
      <c r="L57" s="86"/>
      <c r="M57" s="86"/>
      <c r="N57" s="86"/>
      <c r="O57" s="86"/>
      <c r="P57" s="86"/>
      <c r="Q57" s="89">
        <f t="shared" si="8"/>
        <v>22723500</v>
      </c>
      <c r="R57" s="90"/>
      <c r="S57" s="90"/>
      <c r="T57" s="90"/>
      <c r="U57" s="101"/>
      <c r="V57" s="91"/>
      <c r="W57" s="91"/>
      <c r="Y57" s="91"/>
    </row>
    <row r="58" spans="1:25" s="7" customFormat="1" ht="25.5" hidden="1">
      <c r="A58" s="4">
        <v>1412215</v>
      </c>
      <c r="B58" s="57" t="s">
        <v>117</v>
      </c>
      <c r="C58" s="25" t="s">
        <v>229</v>
      </c>
      <c r="D58" s="25" t="s">
        <v>225</v>
      </c>
      <c r="E58" s="14" t="s">
        <v>118</v>
      </c>
      <c r="F58" s="26">
        <f t="shared" si="6"/>
        <v>0</v>
      </c>
      <c r="G58" s="67"/>
      <c r="H58" s="66"/>
      <c r="I58" s="49"/>
      <c r="J58" s="16"/>
      <c r="K58" s="26">
        <f t="shared" si="7"/>
        <v>0</v>
      </c>
      <c r="L58" s="66"/>
      <c r="M58" s="66"/>
      <c r="N58" s="49"/>
      <c r="O58" s="66"/>
      <c r="P58" s="66"/>
      <c r="Q58" s="16">
        <f t="shared" si="8"/>
        <v>0</v>
      </c>
      <c r="R58" s="76"/>
      <c r="S58" s="76"/>
      <c r="T58" s="76"/>
      <c r="U58" s="6"/>
      <c r="V58" s="9"/>
      <c r="W58" s="9"/>
      <c r="Y58" s="9"/>
    </row>
    <row r="59" spans="1:25" s="7" customFormat="1" ht="12.75">
      <c r="A59" s="4">
        <v>1412220</v>
      </c>
      <c r="B59" s="57" t="s">
        <v>105</v>
      </c>
      <c r="C59" s="25" t="s">
        <v>270</v>
      </c>
      <c r="D59" s="8" t="s">
        <v>225</v>
      </c>
      <c r="E59" s="14" t="s">
        <v>271</v>
      </c>
      <c r="F59" s="26">
        <f t="shared" si="6"/>
        <v>63635200</v>
      </c>
      <c r="G59" s="67">
        <f>61865500+I59</f>
        <v>63635200</v>
      </c>
      <c r="H59" s="66">
        <v>22826800</v>
      </c>
      <c r="I59" s="26">
        <v>1769700</v>
      </c>
      <c r="J59" s="16"/>
      <c r="K59" s="26">
        <f t="shared" si="7"/>
        <v>5067700</v>
      </c>
      <c r="L59" s="66">
        <v>86100</v>
      </c>
      <c r="M59" s="66">
        <v>8800</v>
      </c>
      <c r="N59" s="26">
        <v>500</v>
      </c>
      <c r="O59" s="66">
        <f>P59</f>
        <v>4981600</v>
      </c>
      <c r="P59" s="66">
        <v>4981600</v>
      </c>
      <c r="Q59" s="16">
        <f t="shared" si="8"/>
        <v>68702900</v>
      </c>
      <c r="R59" s="76"/>
      <c r="S59" s="76"/>
      <c r="T59" s="76"/>
      <c r="U59" s="6"/>
      <c r="V59" s="9"/>
      <c r="W59" s="9"/>
      <c r="Y59" s="9"/>
    </row>
    <row r="60" spans="1:25" s="7" customFormat="1" ht="12.75">
      <c r="A60" s="4">
        <v>1414060</v>
      </c>
      <c r="B60" s="57" t="s">
        <v>49</v>
      </c>
      <c r="C60" s="8" t="s">
        <v>230</v>
      </c>
      <c r="D60" s="8" t="s">
        <v>231</v>
      </c>
      <c r="E60" s="34" t="s">
        <v>50</v>
      </c>
      <c r="F60" s="26">
        <f t="shared" si="6"/>
        <v>1602800</v>
      </c>
      <c r="G60" s="66">
        <v>1602800</v>
      </c>
      <c r="H60" s="66">
        <v>1275400</v>
      </c>
      <c r="I60" s="66">
        <v>42560</v>
      </c>
      <c r="J60" s="18"/>
      <c r="K60" s="26">
        <f t="shared" si="7"/>
        <v>0</v>
      </c>
      <c r="L60" s="66"/>
      <c r="M60" s="66"/>
      <c r="N60" s="66"/>
      <c r="O60" s="66">
        <f>P60</f>
        <v>0</v>
      </c>
      <c r="P60" s="66"/>
      <c r="Q60" s="16">
        <f t="shared" si="8"/>
        <v>1602800</v>
      </c>
      <c r="R60" s="76"/>
      <c r="S60" s="76"/>
      <c r="T60" s="76"/>
      <c r="U60" s="6"/>
      <c r="V60" s="9"/>
      <c r="W60" s="9"/>
      <c r="Y60" s="9"/>
    </row>
    <row r="61" spans="1:25" s="7" customFormat="1" ht="51" hidden="1">
      <c r="A61" s="4">
        <v>1419110</v>
      </c>
      <c r="B61" s="57" t="s">
        <v>176</v>
      </c>
      <c r="C61" s="8" t="s">
        <v>175</v>
      </c>
      <c r="D61" s="8" t="s">
        <v>173</v>
      </c>
      <c r="E61" s="40" t="s">
        <v>174</v>
      </c>
      <c r="F61" s="46">
        <f t="shared" si="6"/>
        <v>0</v>
      </c>
      <c r="G61" s="46"/>
      <c r="H61" s="46"/>
      <c r="I61" s="46"/>
      <c r="J61" s="48"/>
      <c r="K61" s="46">
        <f t="shared" si="7"/>
        <v>0</v>
      </c>
      <c r="L61" s="46"/>
      <c r="M61" s="46"/>
      <c r="N61" s="46"/>
      <c r="O61" s="66">
        <f>P61</f>
        <v>0</v>
      </c>
      <c r="P61" s="46"/>
      <c r="Q61" s="78">
        <f t="shared" si="8"/>
        <v>0</v>
      </c>
      <c r="R61" s="76"/>
      <c r="S61" s="76"/>
      <c r="T61" s="76"/>
      <c r="U61" s="6"/>
      <c r="V61" s="9"/>
      <c r="W61" s="9"/>
      <c r="Y61" s="9"/>
    </row>
    <row r="62" spans="1:25" s="7" customFormat="1" ht="25.5" hidden="1">
      <c r="A62" s="4">
        <v>1416310</v>
      </c>
      <c r="B62" s="57" t="s">
        <v>25</v>
      </c>
      <c r="C62" s="25" t="s">
        <v>278</v>
      </c>
      <c r="D62" s="25" t="s">
        <v>279</v>
      </c>
      <c r="E62" s="79" t="s">
        <v>110</v>
      </c>
      <c r="F62" s="46">
        <f t="shared" si="6"/>
        <v>0</v>
      </c>
      <c r="G62" s="46"/>
      <c r="H62" s="46"/>
      <c r="I62" s="46"/>
      <c r="J62" s="48"/>
      <c r="K62" s="46">
        <f t="shared" si="7"/>
        <v>0</v>
      </c>
      <c r="L62" s="46"/>
      <c r="M62" s="46"/>
      <c r="N62" s="46"/>
      <c r="O62" s="46">
        <f>P62</f>
        <v>0</v>
      </c>
      <c r="P62" s="46"/>
      <c r="Q62" s="78">
        <f t="shared" si="8"/>
        <v>0</v>
      </c>
      <c r="R62" s="76"/>
      <c r="S62" s="76"/>
      <c r="T62" s="76"/>
      <c r="U62" s="6"/>
      <c r="V62" s="9"/>
      <c r="W62" s="9"/>
      <c r="Y62" s="9"/>
    </row>
    <row r="63" spans="1:25" s="10" customFormat="1" ht="38.25">
      <c r="A63" s="3">
        <v>1500000</v>
      </c>
      <c r="B63" s="56" t="s">
        <v>51</v>
      </c>
      <c r="C63" s="24"/>
      <c r="D63" s="24"/>
      <c r="E63" s="11" t="s">
        <v>188</v>
      </c>
      <c r="F63" s="49">
        <f t="shared" si="6"/>
        <v>103763100</v>
      </c>
      <c r="G63" s="49">
        <f>G64</f>
        <v>103763100</v>
      </c>
      <c r="H63" s="49">
        <f>H64</f>
        <v>57920000</v>
      </c>
      <c r="I63" s="49">
        <f>I64</f>
        <v>12323700</v>
      </c>
      <c r="J63" s="49">
        <f>J64</f>
        <v>0</v>
      </c>
      <c r="K63" s="49">
        <f t="shared" si="7"/>
        <v>36983800</v>
      </c>
      <c r="L63" s="49">
        <f aca="true" t="shared" si="9" ref="L63:Q63">L64</f>
        <v>33567800</v>
      </c>
      <c r="M63" s="49">
        <f t="shared" si="9"/>
        <v>205400</v>
      </c>
      <c r="N63" s="49">
        <f t="shared" si="9"/>
        <v>46700</v>
      </c>
      <c r="O63" s="49">
        <f t="shared" si="9"/>
        <v>3416000</v>
      </c>
      <c r="P63" s="49">
        <f t="shared" si="9"/>
        <v>0</v>
      </c>
      <c r="Q63" s="16">
        <f t="shared" si="9"/>
        <v>140746900</v>
      </c>
      <c r="R63" s="76">
        <f>F63</f>
        <v>103763100</v>
      </c>
      <c r="S63" s="76">
        <f>P63</f>
        <v>0</v>
      </c>
      <c r="T63" s="76">
        <f>R63+S63</f>
        <v>103763100</v>
      </c>
      <c r="U63" s="6">
        <f>P63+F63</f>
        <v>103763100</v>
      </c>
      <c r="V63" s="9">
        <f>T63-U63</f>
        <v>0</v>
      </c>
      <c r="W63" s="9">
        <f>K63-P63</f>
        <v>36983800</v>
      </c>
      <c r="X63" s="10">
        <v>36983800</v>
      </c>
      <c r="Y63" s="9">
        <f>W63-X63</f>
        <v>0</v>
      </c>
    </row>
    <row r="64" spans="1:25" s="10" customFormat="1" ht="38.25">
      <c r="A64" s="3">
        <v>1510000</v>
      </c>
      <c r="B64" s="56"/>
      <c r="C64" s="24"/>
      <c r="D64" s="24"/>
      <c r="E64" s="11" t="s">
        <v>185</v>
      </c>
      <c r="F64" s="49">
        <f t="shared" si="6"/>
        <v>103763100</v>
      </c>
      <c r="G64" s="49">
        <f>G65+G66+G69+G71+G72</f>
        <v>103763100</v>
      </c>
      <c r="H64" s="49">
        <f>H65+H66+H69+H71+H72</f>
        <v>57920000</v>
      </c>
      <c r="I64" s="49">
        <f>I65+I66+I69+I71+I72</f>
        <v>12323700</v>
      </c>
      <c r="J64" s="49">
        <f>J65+J66+J69+J71+J72</f>
        <v>0</v>
      </c>
      <c r="K64" s="49">
        <f t="shared" si="7"/>
        <v>36983800</v>
      </c>
      <c r="L64" s="49">
        <f>L65+L66+L69+L71+L72</f>
        <v>33567800</v>
      </c>
      <c r="M64" s="49">
        <f>M65+M66+M69+M71+M72</f>
        <v>205400</v>
      </c>
      <c r="N64" s="49">
        <f>N65+N66+N69+N71+N72</f>
        <v>46700</v>
      </c>
      <c r="O64" s="49">
        <f>O65+O66+O69+O71+O72</f>
        <v>3416000</v>
      </c>
      <c r="P64" s="49">
        <f>P65+P66+P69+P71+P72</f>
        <v>0</v>
      </c>
      <c r="Q64" s="16">
        <f t="shared" si="2"/>
        <v>140746900</v>
      </c>
      <c r="R64" s="76"/>
      <c r="S64" s="76"/>
      <c r="T64" s="76"/>
      <c r="U64" s="6"/>
      <c r="V64" s="9"/>
      <c r="W64" s="9"/>
      <c r="Y64" s="9"/>
    </row>
    <row r="65" spans="1:25" s="7" customFormat="1" ht="25.5">
      <c r="A65" s="4">
        <v>1513400</v>
      </c>
      <c r="B65" s="57" t="s">
        <v>52</v>
      </c>
      <c r="C65" s="8" t="s">
        <v>190</v>
      </c>
      <c r="D65" s="8" t="s">
        <v>152</v>
      </c>
      <c r="E65" s="36" t="s">
        <v>116</v>
      </c>
      <c r="F65" s="26">
        <f t="shared" si="6"/>
        <v>4914000</v>
      </c>
      <c r="G65" s="26">
        <v>4914000</v>
      </c>
      <c r="H65" s="26"/>
      <c r="I65" s="26"/>
      <c r="J65" s="26"/>
      <c r="K65" s="26">
        <f t="shared" si="7"/>
        <v>6258700</v>
      </c>
      <c r="L65" s="26">
        <v>3887500</v>
      </c>
      <c r="M65" s="26">
        <v>205400</v>
      </c>
      <c r="N65" s="26">
        <v>19700</v>
      </c>
      <c r="O65" s="26">
        <v>2371200</v>
      </c>
      <c r="P65" s="26"/>
      <c r="Q65" s="16">
        <f t="shared" si="2"/>
        <v>11172700</v>
      </c>
      <c r="R65" s="76"/>
      <c r="S65" s="76"/>
      <c r="T65" s="76"/>
      <c r="U65" s="6"/>
      <c r="V65" s="9"/>
      <c r="W65" s="9"/>
      <c r="Y65" s="9"/>
    </row>
    <row r="66" spans="1:25" s="7" customFormat="1" ht="51">
      <c r="A66" s="4">
        <v>1513100</v>
      </c>
      <c r="B66" s="57"/>
      <c r="C66" s="8" t="s">
        <v>297</v>
      </c>
      <c r="D66" s="8"/>
      <c r="E66" s="36" t="s">
        <v>298</v>
      </c>
      <c r="F66" s="26">
        <f t="shared" si="6"/>
        <v>95380300</v>
      </c>
      <c r="G66" s="26">
        <f>G67+G68</f>
        <v>95380300</v>
      </c>
      <c r="H66" s="26">
        <f>H67+H68</f>
        <v>55613900</v>
      </c>
      <c r="I66" s="26">
        <f>I67+I68</f>
        <v>12211900</v>
      </c>
      <c r="J66" s="26">
        <f>J67+J68</f>
        <v>0</v>
      </c>
      <c r="K66" s="26">
        <f t="shared" si="7"/>
        <v>30725100</v>
      </c>
      <c r="L66" s="26">
        <f>L67+L68</f>
        <v>29680300</v>
      </c>
      <c r="M66" s="26">
        <f>M67+M68</f>
        <v>0</v>
      </c>
      <c r="N66" s="26">
        <f>N67+N68</f>
        <v>27000</v>
      </c>
      <c r="O66" s="26">
        <f>O67+O68</f>
        <v>1044800</v>
      </c>
      <c r="P66" s="26">
        <f>P67+P68</f>
        <v>0</v>
      </c>
      <c r="Q66" s="16">
        <f t="shared" si="2"/>
        <v>126105400</v>
      </c>
      <c r="R66" s="76"/>
      <c r="S66" s="76"/>
      <c r="T66" s="76"/>
      <c r="U66" s="6"/>
      <c r="V66" s="9"/>
      <c r="W66" s="9"/>
      <c r="Y66" s="9"/>
    </row>
    <row r="67" spans="1:25" s="92" customFormat="1" ht="51">
      <c r="A67" s="82">
        <v>1513101</v>
      </c>
      <c r="B67" s="83" t="s">
        <v>53</v>
      </c>
      <c r="C67" s="84" t="s">
        <v>248</v>
      </c>
      <c r="D67" s="84" t="s">
        <v>249</v>
      </c>
      <c r="E67" s="85" t="s">
        <v>124</v>
      </c>
      <c r="F67" s="86">
        <f t="shared" si="6"/>
        <v>5771700</v>
      </c>
      <c r="G67" s="87">
        <v>5771700</v>
      </c>
      <c r="H67" s="87">
        <v>3549000</v>
      </c>
      <c r="I67" s="86">
        <v>839200</v>
      </c>
      <c r="J67" s="93"/>
      <c r="K67" s="86">
        <f t="shared" si="7"/>
        <v>1206100</v>
      </c>
      <c r="L67" s="87">
        <v>1126100</v>
      </c>
      <c r="M67" s="87"/>
      <c r="N67" s="86">
        <v>5000</v>
      </c>
      <c r="O67" s="87">
        <f>80000+P67</f>
        <v>80000</v>
      </c>
      <c r="P67" s="86"/>
      <c r="Q67" s="89">
        <f t="shared" si="2"/>
        <v>6977800</v>
      </c>
      <c r="R67" s="90"/>
      <c r="S67" s="90"/>
      <c r="T67" s="90"/>
      <c r="U67" s="101"/>
      <c r="V67" s="91"/>
      <c r="W67" s="91"/>
      <c r="Y67" s="91"/>
    </row>
    <row r="68" spans="1:25" s="92" customFormat="1" ht="114.75">
      <c r="A68" s="82">
        <v>1513102</v>
      </c>
      <c r="B68" s="83" t="s">
        <v>54</v>
      </c>
      <c r="C68" s="84" t="s">
        <v>250</v>
      </c>
      <c r="D68" s="84" t="s">
        <v>251</v>
      </c>
      <c r="E68" s="85" t="s">
        <v>125</v>
      </c>
      <c r="F68" s="86">
        <f t="shared" si="6"/>
        <v>89608600</v>
      </c>
      <c r="G68" s="87">
        <v>89608600</v>
      </c>
      <c r="H68" s="87">
        <v>52064900</v>
      </c>
      <c r="I68" s="86">
        <v>11372700</v>
      </c>
      <c r="J68" s="93"/>
      <c r="K68" s="86">
        <f t="shared" si="7"/>
        <v>29519000</v>
      </c>
      <c r="L68" s="87">
        <v>28554200</v>
      </c>
      <c r="M68" s="87"/>
      <c r="N68" s="86">
        <v>22000</v>
      </c>
      <c r="O68" s="87">
        <f>964800+P68</f>
        <v>964800</v>
      </c>
      <c r="P68" s="86"/>
      <c r="Q68" s="89">
        <f t="shared" si="2"/>
        <v>119127600</v>
      </c>
      <c r="R68" s="90"/>
      <c r="S68" s="90"/>
      <c r="T68" s="90"/>
      <c r="U68" s="101"/>
      <c r="V68" s="91"/>
      <c r="W68" s="91"/>
      <c r="Y68" s="91"/>
    </row>
    <row r="69" spans="1:25" s="7" customFormat="1" ht="25.5">
      <c r="A69" s="4">
        <v>1513200</v>
      </c>
      <c r="B69" s="57"/>
      <c r="C69" s="8" t="s">
        <v>299</v>
      </c>
      <c r="D69" s="8"/>
      <c r="E69" s="36" t="s">
        <v>300</v>
      </c>
      <c r="F69" s="26">
        <f t="shared" si="6"/>
        <v>400000</v>
      </c>
      <c r="G69" s="66">
        <f>G70</f>
        <v>400000</v>
      </c>
      <c r="H69" s="66">
        <f>H70</f>
        <v>0</v>
      </c>
      <c r="I69" s="66">
        <f>I70</f>
        <v>0</v>
      </c>
      <c r="J69" s="66">
        <f>J70</f>
        <v>0</v>
      </c>
      <c r="K69" s="26">
        <f t="shared" si="7"/>
        <v>0</v>
      </c>
      <c r="L69" s="66">
        <f>L70</f>
        <v>0</v>
      </c>
      <c r="M69" s="66">
        <f>M70</f>
        <v>0</v>
      </c>
      <c r="N69" s="66">
        <f>N70</f>
        <v>0</v>
      </c>
      <c r="O69" s="66">
        <f>O70</f>
        <v>0</v>
      </c>
      <c r="P69" s="66">
        <f>P70</f>
        <v>0</v>
      </c>
      <c r="Q69" s="16">
        <f t="shared" si="2"/>
        <v>400000</v>
      </c>
      <c r="R69" s="76"/>
      <c r="S69" s="76"/>
      <c r="T69" s="76"/>
      <c r="U69" s="6"/>
      <c r="V69" s="9"/>
      <c r="W69" s="9"/>
      <c r="Y69" s="9"/>
    </row>
    <row r="70" spans="1:25" s="92" customFormat="1" ht="51">
      <c r="A70" s="82">
        <v>1513202</v>
      </c>
      <c r="B70" s="83" t="s">
        <v>55</v>
      </c>
      <c r="C70" s="84" t="s">
        <v>252</v>
      </c>
      <c r="D70" s="84" t="s">
        <v>253</v>
      </c>
      <c r="E70" s="85" t="s">
        <v>56</v>
      </c>
      <c r="F70" s="86">
        <f t="shared" si="6"/>
        <v>400000</v>
      </c>
      <c r="G70" s="87">
        <v>400000</v>
      </c>
      <c r="H70" s="87"/>
      <c r="I70" s="87"/>
      <c r="J70" s="88"/>
      <c r="K70" s="86">
        <f t="shared" si="7"/>
        <v>0</v>
      </c>
      <c r="L70" s="87"/>
      <c r="M70" s="87"/>
      <c r="N70" s="87"/>
      <c r="O70" s="87"/>
      <c r="P70" s="86"/>
      <c r="Q70" s="89">
        <f t="shared" si="2"/>
        <v>400000</v>
      </c>
      <c r="R70" s="90"/>
      <c r="S70" s="90"/>
      <c r="T70" s="90"/>
      <c r="U70" s="101"/>
      <c r="V70" s="91"/>
      <c r="W70" s="91"/>
      <c r="Y70" s="91"/>
    </row>
    <row r="71" spans="1:25" s="7" customFormat="1" ht="38.25">
      <c r="A71" s="4">
        <v>1513220</v>
      </c>
      <c r="B71" s="57" t="s">
        <v>57</v>
      </c>
      <c r="C71" s="8" t="s">
        <v>254</v>
      </c>
      <c r="D71" s="8" t="s">
        <v>152</v>
      </c>
      <c r="E71" s="36" t="s">
        <v>58</v>
      </c>
      <c r="F71" s="26">
        <f t="shared" si="6"/>
        <v>2531700</v>
      </c>
      <c r="G71" s="66">
        <v>2531700</v>
      </c>
      <c r="H71" s="66">
        <v>1889100</v>
      </c>
      <c r="I71" s="66">
        <v>96700</v>
      </c>
      <c r="J71" s="18"/>
      <c r="K71" s="26">
        <f t="shared" si="7"/>
        <v>0</v>
      </c>
      <c r="L71" s="66"/>
      <c r="M71" s="66"/>
      <c r="N71" s="66"/>
      <c r="O71" s="66"/>
      <c r="P71" s="26"/>
      <c r="Q71" s="16">
        <f t="shared" si="2"/>
        <v>2531700</v>
      </c>
      <c r="R71" s="76"/>
      <c r="S71" s="76"/>
      <c r="T71" s="76"/>
      <c r="U71" s="6"/>
      <c r="V71" s="9"/>
      <c r="W71" s="9"/>
      <c r="Y71" s="9"/>
    </row>
    <row r="72" spans="1:25" s="7" customFormat="1" ht="12.75">
      <c r="A72" s="4">
        <v>1513300</v>
      </c>
      <c r="B72" s="57" t="s">
        <v>114</v>
      </c>
      <c r="C72" s="8" t="s">
        <v>256</v>
      </c>
      <c r="D72" s="8" t="s">
        <v>152</v>
      </c>
      <c r="E72" s="36" t="s">
        <v>255</v>
      </c>
      <c r="F72" s="26">
        <f t="shared" si="6"/>
        <v>537100</v>
      </c>
      <c r="G72" s="66">
        <v>537100</v>
      </c>
      <c r="H72" s="66">
        <v>417000</v>
      </c>
      <c r="I72" s="66">
        <v>15100</v>
      </c>
      <c r="J72" s="18"/>
      <c r="K72" s="26">
        <f t="shared" si="7"/>
        <v>0</v>
      </c>
      <c r="L72" s="66"/>
      <c r="M72" s="66"/>
      <c r="N72" s="66"/>
      <c r="O72" s="66"/>
      <c r="P72" s="26"/>
      <c r="Q72" s="16">
        <f t="shared" si="2"/>
        <v>537100</v>
      </c>
      <c r="R72" s="76"/>
      <c r="S72" s="76"/>
      <c r="T72" s="76"/>
      <c r="U72" s="6"/>
      <c r="V72" s="9"/>
      <c r="W72" s="9"/>
      <c r="Y72" s="9"/>
    </row>
    <row r="73" spans="1:25" s="10" customFormat="1" ht="33" customHeight="1">
      <c r="A73" s="3">
        <v>1100000</v>
      </c>
      <c r="B73" s="56" t="s">
        <v>88</v>
      </c>
      <c r="C73" s="5"/>
      <c r="D73" s="5"/>
      <c r="E73" s="37" t="s">
        <v>280</v>
      </c>
      <c r="F73" s="49">
        <f t="shared" si="6"/>
        <v>27323100</v>
      </c>
      <c r="G73" s="49">
        <f>G74</f>
        <v>27323100</v>
      </c>
      <c r="H73" s="49">
        <f>H74</f>
        <v>9192100</v>
      </c>
      <c r="I73" s="49">
        <f>I74</f>
        <v>947900</v>
      </c>
      <c r="J73" s="49">
        <f>J74</f>
        <v>0</v>
      </c>
      <c r="K73" s="49">
        <f t="shared" si="7"/>
        <v>205000</v>
      </c>
      <c r="L73" s="49">
        <f aca="true" t="shared" si="10" ref="L73:Q73">L74</f>
        <v>205000</v>
      </c>
      <c r="M73" s="49">
        <f t="shared" si="10"/>
        <v>0</v>
      </c>
      <c r="N73" s="49">
        <f t="shared" si="10"/>
        <v>0</v>
      </c>
      <c r="O73" s="49">
        <f t="shared" si="10"/>
        <v>0</v>
      </c>
      <c r="P73" s="49">
        <f t="shared" si="10"/>
        <v>0</v>
      </c>
      <c r="Q73" s="16">
        <f t="shared" si="10"/>
        <v>27528100</v>
      </c>
      <c r="R73" s="76">
        <f>F73</f>
        <v>27323100</v>
      </c>
      <c r="S73" s="76">
        <f>P73</f>
        <v>0</v>
      </c>
      <c r="T73" s="76">
        <f>R73+S73</f>
        <v>27323100</v>
      </c>
      <c r="U73" s="6">
        <f>P73+F73</f>
        <v>27323100</v>
      </c>
      <c r="V73" s="9">
        <f>T73-U73</f>
        <v>0</v>
      </c>
      <c r="W73" s="9">
        <f>K73-P73</f>
        <v>205000</v>
      </c>
      <c r="X73" s="10">
        <v>205000</v>
      </c>
      <c r="Y73" s="9">
        <f>W73-X73</f>
        <v>0</v>
      </c>
    </row>
    <row r="74" spans="1:25" s="10" customFormat="1" ht="30" customHeight="1">
      <c r="A74" s="3">
        <v>1110000</v>
      </c>
      <c r="B74" s="56"/>
      <c r="C74" s="5"/>
      <c r="D74" s="5"/>
      <c r="E74" s="37" t="s">
        <v>281</v>
      </c>
      <c r="F74" s="49">
        <f t="shared" si="6"/>
        <v>27323100</v>
      </c>
      <c r="G74" s="49">
        <f>G75+G77+G80+G82+G83+G86+G89+G93+G95</f>
        <v>27323100</v>
      </c>
      <c r="H74" s="49">
        <f>H75+H77+H80+H82+H83+H86+H89+H93+H95</f>
        <v>9192100</v>
      </c>
      <c r="I74" s="49">
        <f>I75+I77+I80+I82+I83+I86+I89+I93+I95</f>
        <v>947900</v>
      </c>
      <c r="J74" s="49">
        <f>J75+J77+J81+J82+J83+J89+J94+J86+J95</f>
        <v>0</v>
      </c>
      <c r="K74" s="49">
        <f aca="true" t="shared" si="11" ref="K74:P74">K75+K77+K80+K82+K83+K86+K89+K93+K95</f>
        <v>205000</v>
      </c>
      <c r="L74" s="49">
        <f t="shared" si="11"/>
        <v>205000</v>
      </c>
      <c r="M74" s="49">
        <f t="shared" si="11"/>
        <v>0</v>
      </c>
      <c r="N74" s="49">
        <f t="shared" si="11"/>
        <v>0</v>
      </c>
      <c r="O74" s="49">
        <f t="shared" si="11"/>
        <v>0</v>
      </c>
      <c r="P74" s="49">
        <f t="shared" si="11"/>
        <v>0</v>
      </c>
      <c r="Q74" s="16">
        <f t="shared" si="2"/>
        <v>27528100</v>
      </c>
      <c r="R74" s="76"/>
      <c r="S74" s="76"/>
      <c r="T74" s="76"/>
      <c r="U74" s="6"/>
      <c r="V74" s="9"/>
      <c r="W74" s="9"/>
      <c r="Y74" s="9"/>
    </row>
    <row r="75" spans="1:25" s="7" customFormat="1" ht="27.75" customHeight="1">
      <c r="A75" s="4">
        <v>1113110</v>
      </c>
      <c r="B75" s="57"/>
      <c r="C75" s="8" t="s">
        <v>301</v>
      </c>
      <c r="D75" s="8"/>
      <c r="E75" s="34" t="s">
        <v>302</v>
      </c>
      <c r="F75" s="49">
        <f t="shared" si="6"/>
        <v>637000</v>
      </c>
      <c r="G75" s="26">
        <f>G76</f>
        <v>637000</v>
      </c>
      <c r="H75" s="26">
        <f>H76</f>
        <v>377800</v>
      </c>
      <c r="I75" s="26">
        <f>I76</f>
        <v>49400</v>
      </c>
      <c r="J75" s="26">
        <f>J76</f>
        <v>0</v>
      </c>
      <c r="K75" s="49">
        <f t="shared" si="7"/>
        <v>0</v>
      </c>
      <c r="L75" s="26">
        <f>L76</f>
        <v>0</v>
      </c>
      <c r="M75" s="26">
        <f>M76</f>
        <v>0</v>
      </c>
      <c r="N75" s="26">
        <f>N76</f>
        <v>0</v>
      </c>
      <c r="O75" s="26">
        <f>O76</f>
        <v>0</v>
      </c>
      <c r="P75" s="26">
        <f>P76</f>
        <v>0</v>
      </c>
      <c r="Q75" s="16">
        <f t="shared" si="2"/>
        <v>637000</v>
      </c>
      <c r="R75" s="94"/>
      <c r="S75" s="94"/>
      <c r="T75" s="94"/>
      <c r="U75" s="6"/>
      <c r="V75" s="6"/>
      <c r="W75" s="6"/>
      <c r="Y75" s="6"/>
    </row>
    <row r="76" spans="1:25" s="92" customFormat="1" ht="42" customHeight="1">
      <c r="A76" s="82">
        <v>1113111</v>
      </c>
      <c r="B76" s="83" t="s">
        <v>60</v>
      </c>
      <c r="C76" s="84" t="s">
        <v>257</v>
      </c>
      <c r="D76" s="84" t="s">
        <v>143</v>
      </c>
      <c r="E76" s="85" t="s">
        <v>61</v>
      </c>
      <c r="F76" s="86">
        <f t="shared" si="6"/>
        <v>637000</v>
      </c>
      <c r="G76" s="86">
        <v>637000</v>
      </c>
      <c r="H76" s="86">
        <v>377800</v>
      </c>
      <c r="I76" s="86">
        <v>49400</v>
      </c>
      <c r="J76" s="93"/>
      <c r="K76" s="86">
        <f t="shared" si="7"/>
        <v>0</v>
      </c>
      <c r="L76" s="86"/>
      <c r="M76" s="86"/>
      <c r="N76" s="86"/>
      <c r="O76" s="86"/>
      <c r="P76" s="86"/>
      <c r="Q76" s="89">
        <f aca="true" t="shared" si="12" ref="Q76:Q95">F76+K76</f>
        <v>637000</v>
      </c>
      <c r="R76" s="90"/>
      <c r="S76" s="90"/>
      <c r="T76" s="90"/>
      <c r="U76" s="101"/>
      <c r="V76" s="91"/>
      <c r="W76" s="91"/>
      <c r="Y76" s="91"/>
    </row>
    <row r="77" spans="1:25" s="7" customFormat="1" ht="28.5" customHeight="1">
      <c r="A77" s="4">
        <v>1113130</v>
      </c>
      <c r="B77" s="57"/>
      <c r="C77" s="8" t="s">
        <v>303</v>
      </c>
      <c r="D77" s="8"/>
      <c r="E77" s="36" t="s">
        <v>304</v>
      </c>
      <c r="F77" s="26">
        <f t="shared" si="6"/>
        <v>1174800</v>
      </c>
      <c r="G77" s="26">
        <f>G78+G79</f>
        <v>1174800</v>
      </c>
      <c r="H77" s="26">
        <f>H78+H79</f>
        <v>790700</v>
      </c>
      <c r="I77" s="26">
        <f>I78+I79</f>
        <v>55000</v>
      </c>
      <c r="J77" s="26">
        <f>J78+J79</f>
        <v>0</v>
      </c>
      <c r="K77" s="26">
        <f t="shared" si="7"/>
        <v>0</v>
      </c>
      <c r="L77" s="26">
        <f>L78+L79</f>
        <v>0</v>
      </c>
      <c r="M77" s="26">
        <f>M78+M79</f>
        <v>0</v>
      </c>
      <c r="N77" s="26">
        <f>N78+N79</f>
        <v>0</v>
      </c>
      <c r="O77" s="26">
        <f>O78+O79</f>
        <v>0</v>
      </c>
      <c r="P77" s="26">
        <f>P78+P79</f>
        <v>0</v>
      </c>
      <c r="Q77" s="16">
        <f t="shared" si="12"/>
        <v>1174800</v>
      </c>
      <c r="R77" s="76"/>
      <c r="S77" s="76"/>
      <c r="T77" s="76"/>
      <c r="U77" s="6"/>
      <c r="V77" s="9"/>
      <c r="W77" s="9"/>
      <c r="Y77" s="9"/>
    </row>
    <row r="78" spans="1:25" s="92" customFormat="1" ht="29.25" customHeight="1">
      <c r="A78" s="82">
        <v>1113131</v>
      </c>
      <c r="B78" s="83" t="s">
        <v>94</v>
      </c>
      <c r="C78" s="84" t="s">
        <v>258</v>
      </c>
      <c r="D78" s="84" t="s">
        <v>143</v>
      </c>
      <c r="E78" s="85" t="s">
        <v>121</v>
      </c>
      <c r="F78" s="86">
        <f t="shared" si="6"/>
        <v>1124200</v>
      </c>
      <c r="G78" s="86">
        <v>1124200</v>
      </c>
      <c r="H78" s="86">
        <v>790700</v>
      </c>
      <c r="I78" s="86">
        <v>55000</v>
      </c>
      <c r="J78" s="93"/>
      <c r="K78" s="86">
        <f t="shared" si="7"/>
        <v>0</v>
      </c>
      <c r="L78" s="86"/>
      <c r="M78" s="86"/>
      <c r="N78" s="86"/>
      <c r="O78" s="86"/>
      <c r="P78" s="86"/>
      <c r="Q78" s="89">
        <f t="shared" si="12"/>
        <v>1124200</v>
      </c>
      <c r="R78" s="90"/>
      <c r="S78" s="90"/>
      <c r="T78" s="90"/>
      <c r="U78" s="101"/>
      <c r="V78" s="91"/>
      <c r="W78" s="91"/>
      <c r="Y78" s="91"/>
    </row>
    <row r="79" spans="1:25" s="92" customFormat="1" ht="29.25" customHeight="1">
      <c r="A79" s="82">
        <v>1113132</v>
      </c>
      <c r="B79" s="83" t="s">
        <v>95</v>
      </c>
      <c r="C79" s="84" t="s">
        <v>259</v>
      </c>
      <c r="D79" s="84" t="s">
        <v>143</v>
      </c>
      <c r="E79" s="85" t="s">
        <v>96</v>
      </c>
      <c r="F79" s="86">
        <f aca="true" t="shared" si="13" ref="F79:F109">G79+J79</f>
        <v>50600</v>
      </c>
      <c r="G79" s="86">
        <v>50600</v>
      </c>
      <c r="H79" s="86"/>
      <c r="I79" s="86"/>
      <c r="J79" s="93"/>
      <c r="K79" s="86">
        <f aca="true" t="shared" si="14" ref="K79:K106">L79+O79</f>
        <v>0</v>
      </c>
      <c r="L79" s="86"/>
      <c r="M79" s="86"/>
      <c r="N79" s="86"/>
      <c r="O79" s="86"/>
      <c r="P79" s="86"/>
      <c r="Q79" s="89">
        <f t="shared" si="12"/>
        <v>50600</v>
      </c>
      <c r="R79" s="90"/>
      <c r="S79" s="90"/>
      <c r="T79" s="90"/>
      <c r="U79" s="101"/>
      <c r="V79" s="91"/>
      <c r="W79" s="91"/>
      <c r="Y79" s="91"/>
    </row>
    <row r="80" spans="1:25" s="98" customFormat="1" ht="25.5">
      <c r="A80" s="4">
        <v>1113140</v>
      </c>
      <c r="B80" s="8" t="s">
        <v>89</v>
      </c>
      <c r="C80" s="8" t="s">
        <v>260</v>
      </c>
      <c r="D80" s="8"/>
      <c r="E80" s="36" t="s">
        <v>332</v>
      </c>
      <c r="F80" s="26">
        <f t="shared" si="13"/>
        <v>200000</v>
      </c>
      <c r="G80" s="26">
        <f>G81</f>
        <v>200000</v>
      </c>
      <c r="H80" s="26">
        <f>H81</f>
        <v>0</v>
      </c>
      <c r="I80" s="26">
        <f>I81</f>
        <v>0</v>
      </c>
      <c r="J80" s="26">
        <f>J81</f>
        <v>0</v>
      </c>
      <c r="K80" s="26">
        <f t="shared" si="14"/>
        <v>0</v>
      </c>
      <c r="L80" s="26">
        <f>L81</f>
        <v>0</v>
      </c>
      <c r="M80" s="26">
        <f>M81</f>
        <v>0</v>
      </c>
      <c r="N80" s="26">
        <f>N81</f>
        <v>0</v>
      </c>
      <c r="O80" s="26">
        <f>O81</f>
        <v>0</v>
      </c>
      <c r="P80" s="26">
        <f>P81</f>
        <v>0</v>
      </c>
      <c r="Q80" s="16">
        <f t="shared" si="12"/>
        <v>200000</v>
      </c>
      <c r="R80" s="76"/>
      <c r="S80" s="76"/>
      <c r="T80" s="76"/>
      <c r="U80" s="6"/>
      <c r="V80" s="9"/>
      <c r="W80" s="9"/>
      <c r="X80" s="7"/>
      <c r="Y80" s="9"/>
    </row>
    <row r="81" spans="1:25" s="99" customFormat="1" ht="51" customHeight="1">
      <c r="A81" s="82">
        <v>1113141</v>
      </c>
      <c r="B81" s="83" t="s">
        <v>89</v>
      </c>
      <c r="C81" s="84" t="s">
        <v>333</v>
      </c>
      <c r="D81" s="84" t="s">
        <v>143</v>
      </c>
      <c r="E81" s="85" t="s">
        <v>339</v>
      </c>
      <c r="F81" s="86">
        <f t="shared" si="13"/>
        <v>200000</v>
      </c>
      <c r="G81" s="86">
        <v>200000</v>
      </c>
      <c r="H81" s="86"/>
      <c r="I81" s="86"/>
      <c r="J81" s="93"/>
      <c r="K81" s="86">
        <f t="shared" si="14"/>
        <v>0</v>
      </c>
      <c r="L81" s="86"/>
      <c r="M81" s="86"/>
      <c r="N81" s="86"/>
      <c r="O81" s="86"/>
      <c r="P81" s="86"/>
      <c r="Q81" s="89">
        <f t="shared" si="12"/>
        <v>200000</v>
      </c>
      <c r="R81" s="90"/>
      <c r="S81" s="90"/>
      <c r="T81" s="90"/>
      <c r="U81" s="101"/>
      <c r="V81" s="91"/>
      <c r="W81" s="91"/>
      <c r="X81" s="92"/>
      <c r="Y81" s="91"/>
    </row>
    <row r="82" spans="1:25" s="7" customFormat="1" ht="12.75">
      <c r="A82" s="4">
        <v>1113500</v>
      </c>
      <c r="B82" s="72" t="s">
        <v>90</v>
      </c>
      <c r="C82" s="8" t="s">
        <v>261</v>
      </c>
      <c r="D82" s="8" t="s">
        <v>143</v>
      </c>
      <c r="E82" s="36" t="s">
        <v>111</v>
      </c>
      <c r="F82" s="26">
        <f t="shared" si="13"/>
        <v>3450500</v>
      </c>
      <c r="G82" s="26">
        <v>3450500</v>
      </c>
      <c r="H82" s="26">
        <v>1626100</v>
      </c>
      <c r="I82" s="26">
        <v>710500</v>
      </c>
      <c r="J82" s="26"/>
      <c r="K82" s="26">
        <f t="shared" si="14"/>
        <v>205000</v>
      </c>
      <c r="L82" s="26">
        <v>205000</v>
      </c>
      <c r="M82" s="26"/>
      <c r="N82" s="26"/>
      <c r="O82" s="26"/>
      <c r="P82" s="26"/>
      <c r="Q82" s="16">
        <f t="shared" si="12"/>
        <v>3655500</v>
      </c>
      <c r="R82" s="76"/>
      <c r="S82" s="76"/>
      <c r="T82" s="76"/>
      <c r="U82" s="6"/>
      <c r="V82" s="9"/>
      <c r="W82" s="9"/>
      <c r="Y82" s="9"/>
    </row>
    <row r="83" spans="1:25" s="7" customFormat="1" ht="18" customHeight="1">
      <c r="A83" s="4">
        <v>1115010</v>
      </c>
      <c r="B83" s="57"/>
      <c r="C83" s="8" t="s">
        <v>294</v>
      </c>
      <c r="D83" s="8"/>
      <c r="E83" s="36" t="s">
        <v>296</v>
      </c>
      <c r="F83" s="26">
        <f t="shared" si="13"/>
        <v>8451600</v>
      </c>
      <c r="G83" s="26">
        <f>G84+G85</f>
        <v>8451600</v>
      </c>
      <c r="H83" s="26">
        <f>H84+H85</f>
        <v>0</v>
      </c>
      <c r="I83" s="26">
        <f>I84+I85</f>
        <v>0</v>
      </c>
      <c r="J83" s="26">
        <f>J84+J85</f>
        <v>0</v>
      </c>
      <c r="K83" s="26">
        <f t="shared" si="14"/>
        <v>0</v>
      </c>
      <c r="L83" s="26">
        <f>L84+L85</f>
        <v>0</v>
      </c>
      <c r="M83" s="26">
        <f>M84+M85</f>
        <v>0</v>
      </c>
      <c r="N83" s="26">
        <f>N84+N85</f>
        <v>0</v>
      </c>
      <c r="O83" s="26">
        <f>O84+O85</f>
        <v>0</v>
      </c>
      <c r="P83" s="26">
        <f>P84+P85</f>
        <v>0</v>
      </c>
      <c r="Q83" s="16">
        <f t="shared" si="12"/>
        <v>8451600</v>
      </c>
      <c r="R83" s="76"/>
      <c r="S83" s="76"/>
      <c r="T83" s="76"/>
      <c r="U83" s="6"/>
      <c r="V83" s="9"/>
      <c r="W83" s="9"/>
      <c r="Y83" s="9"/>
    </row>
    <row r="84" spans="1:25" s="92" customFormat="1" ht="38.25">
      <c r="A84" s="82">
        <v>1115011</v>
      </c>
      <c r="B84" s="83" t="s">
        <v>23</v>
      </c>
      <c r="C84" s="84" t="s">
        <v>170</v>
      </c>
      <c r="D84" s="84" t="s">
        <v>171</v>
      </c>
      <c r="E84" s="85" t="s">
        <v>317</v>
      </c>
      <c r="F84" s="86">
        <f t="shared" si="13"/>
        <v>6534600</v>
      </c>
      <c r="G84" s="86">
        <v>6534600</v>
      </c>
      <c r="H84" s="86"/>
      <c r="I84" s="86"/>
      <c r="J84" s="93"/>
      <c r="K84" s="86">
        <f t="shared" si="14"/>
        <v>0</v>
      </c>
      <c r="L84" s="86"/>
      <c r="M84" s="86"/>
      <c r="N84" s="86"/>
      <c r="O84" s="86"/>
      <c r="P84" s="86"/>
      <c r="Q84" s="89">
        <f t="shared" si="12"/>
        <v>6534600</v>
      </c>
      <c r="R84" s="90"/>
      <c r="S84" s="90"/>
      <c r="T84" s="90"/>
      <c r="U84" s="101"/>
      <c r="V84" s="91"/>
      <c r="W84" s="91"/>
      <c r="Y84" s="91"/>
    </row>
    <row r="85" spans="1:25" s="92" customFormat="1" ht="38.25">
      <c r="A85" s="82">
        <v>1115012</v>
      </c>
      <c r="B85" s="83" t="s">
        <v>92</v>
      </c>
      <c r="C85" s="84" t="s">
        <v>263</v>
      </c>
      <c r="D85" s="84" t="s">
        <v>171</v>
      </c>
      <c r="E85" s="85" t="s">
        <v>93</v>
      </c>
      <c r="F85" s="86">
        <f t="shared" si="13"/>
        <v>1917000</v>
      </c>
      <c r="G85" s="86">
        <v>1917000</v>
      </c>
      <c r="H85" s="86"/>
      <c r="I85" s="86"/>
      <c r="J85" s="93"/>
      <c r="K85" s="86">
        <f t="shared" si="14"/>
        <v>0</v>
      </c>
      <c r="L85" s="86"/>
      <c r="M85" s="86"/>
      <c r="N85" s="86"/>
      <c r="O85" s="86"/>
      <c r="P85" s="86"/>
      <c r="Q85" s="89">
        <f t="shared" si="12"/>
        <v>1917000</v>
      </c>
      <c r="R85" s="90"/>
      <c r="S85" s="90"/>
      <c r="T85" s="90"/>
      <c r="U85" s="101"/>
      <c r="V85" s="91"/>
      <c r="W85" s="91"/>
      <c r="Y85" s="91"/>
    </row>
    <row r="86" spans="1:25" s="98" customFormat="1" ht="33.75" customHeight="1">
      <c r="A86" s="4">
        <v>1115020</v>
      </c>
      <c r="B86" s="57"/>
      <c r="C86" s="8" t="s">
        <v>295</v>
      </c>
      <c r="D86" s="8"/>
      <c r="E86" s="36" t="s">
        <v>305</v>
      </c>
      <c r="F86" s="26">
        <f>G86+J86</f>
        <v>2032800</v>
      </c>
      <c r="G86" s="26">
        <f>G87+G88</f>
        <v>2032800</v>
      </c>
      <c r="H86" s="26">
        <f>H87+H88</f>
        <v>1404900</v>
      </c>
      <c r="I86" s="26">
        <f>I87+I88</f>
        <v>14800</v>
      </c>
      <c r="J86" s="26">
        <f>J87+J88</f>
        <v>0</v>
      </c>
      <c r="K86" s="26">
        <f>L86+O86</f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16">
        <f>F86+K86</f>
        <v>2032800</v>
      </c>
      <c r="R86" s="76"/>
      <c r="S86" s="76"/>
      <c r="T86" s="76"/>
      <c r="U86" s="6"/>
      <c r="V86" s="9"/>
      <c r="W86" s="9"/>
      <c r="X86" s="7"/>
      <c r="Y86" s="9"/>
    </row>
    <row r="87" spans="1:25" s="99" customFormat="1" ht="31.5" customHeight="1">
      <c r="A87" s="82">
        <v>1115021</v>
      </c>
      <c r="B87" s="83" t="s">
        <v>97</v>
      </c>
      <c r="C87" s="84" t="s">
        <v>264</v>
      </c>
      <c r="D87" s="84" t="s">
        <v>171</v>
      </c>
      <c r="E87" s="85" t="s">
        <v>326</v>
      </c>
      <c r="F87" s="86">
        <f>G87+J87</f>
        <v>1854600</v>
      </c>
      <c r="G87" s="86">
        <v>1854600</v>
      </c>
      <c r="H87" s="86">
        <v>1404900</v>
      </c>
      <c r="I87" s="86">
        <v>14800</v>
      </c>
      <c r="J87" s="93"/>
      <c r="K87" s="86">
        <f>L87+O87</f>
        <v>0</v>
      </c>
      <c r="L87" s="86"/>
      <c r="M87" s="86"/>
      <c r="N87" s="86"/>
      <c r="O87" s="86"/>
      <c r="P87" s="86"/>
      <c r="Q87" s="89">
        <f>F87+K87</f>
        <v>1854600</v>
      </c>
      <c r="R87" s="90"/>
      <c r="S87" s="90"/>
      <c r="T87" s="90"/>
      <c r="U87" s="101"/>
      <c r="V87" s="91"/>
      <c r="W87" s="91"/>
      <c r="X87" s="92"/>
      <c r="Y87" s="91"/>
    </row>
    <row r="88" spans="1:25" s="99" customFormat="1" ht="38.25">
      <c r="A88" s="82">
        <v>1115022</v>
      </c>
      <c r="B88" s="83" t="s">
        <v>98</v>
      </c>
      <c r="C88" s="84" t="s">
        <v>172</v>
      </c>
      <c r="D88" s="84" t="s">
        <v>171</v>
      </c>
      <c r="E88" s="85" t="s">
        <v>99</v>
      </c>
      <c r="F88" s="86">
        <f>G88+J88</f>
        <v>178200</v>
      </c>
      <c r="G88" s="86">
        <v>178200</v>
      </c>
      <c r="H88" s="86"/>
      <c r="I88" s="86"/>
      <c r="J88" s="93"/>
      <c r="K88" s="86">
        <f>L88+O88</f>
        <v>0</v>
      </c>
      <c r="L88" s="86"/>
      <c r="M88" s="86"/>
      <c r="N88" s="86"/>
      <c r="O88" s="86"/>
      <c r="P88" s="86"/>
      <c r="Q88" s="89">
        <f>F88+K88</f>
        <v>178200</v>
      </c>
      <c r="R88" s="90"/>
      <c r="S88" s="90"/>
      <c r="T88" s="90"/>
      <c r="U88" s="101"/>
      <c r="V88" s="91"/>
      <c r="W88" s="91"/>
      <c r="X88" s="92"/>
      <c r="Y88" s="91"/>
    </row>
    <row r="89" spans="1:25" s="99" customFormat="1" ht="30.75" customHeight="1">
      <c r="A89" s="4">
        <v>1115030</v>
      </c>
      <c r="B89" s="57"/>
      <c r="C89" s="8" t="s">
        <v>321</v>
      </c>
      <c r="D89" s="8"/>
      <c r="E89" s="36" t="s">
        <v>320</v>
      </c>
      <c r="F89" s="26">
        <f t="shared" si="13"/>
        <v>8837600</v>
      </c>
      <c r="G89" s="26">
        <f>G90+G91+G92</f>
        <v>8837600</v>
      </c>
      <c r="H89" s="26">
        <f>H90+H91+H92</f>
        <v>4566900</v>
      </c>
      <c r="I89" s="26">
        <f>I90+I91+I92</f>
        <v>101400</v>
      </c>
      <c r="J89" s="26">
        <f>J90+J91+J92</f>
        <v>0</v>
      </c>
      <c r="K89" s="26">
        <f t="shared" si="14"/>
        <v>0</v>
      </c>
      <c r="L89" s="26">
        <f>L90+L91+L92</f>
        <v>0</v>
      </c>
      <c r="M89" s="26">
        <f>M90+M91+M92</f>
        <v>0</v>
      </c>
      <c r="N89" s="26">
        <f>N90+N91+N92</f>
        <v>0</v>
      </c>
      <c r="O89" s="26">
        <f>O90+O91+O92</f>
        <v>0</v>
      </c>
      <c r="P89" s="26">
        <f>P90+P91+P92</f>
        <v>0</v>
      </c>
      <c r="Q89" s="16">
        <f t="shared" si="12"/>
        <v>8837600</v>
      </c>
      <c r="R89" s="90"/>
      <c r="S89" s="90"/>
      <c r="T89" s="90"/>
      <c r="U89" s="101"/>
      <c r="V89" s="91"/>
      <c r="W89" s="91"/>
      <c r="X89" s="92"/>
      <c r="Y89" s="91"/>
    </row>
    <row r="90" spans="1:25" s="98" customFormat="1" ht="46.5" customHeight="1">
      <c r="A90" s="82">
        <v>1115031</v>
      </c>
      <c r="B90" s="83" t="s">
        <v>24</v>
      </c>
      <c r="C90" s="84" t="s">
        <v>319</v>
      </c>
      <c r="D90" s="84" t="s">
        <v>171</v>
      </c>
      <c r="E90" s="85" t="s">
        <v>318</v>
      </c>
      <c r="F90" s="86">
        <f>G90+J90</f>
        <v>3389200</v>
      </c>
      <c r="G90" s="86">
        <v>3389200</v>
      </c>
      <c r="H90" s="86">
        <v>2177200</v>
      </c>
      <c r="I90" s="86">
        <v>35800</v>
      </c>
      <c r="J90" s="93"/>
      <c r="K90" s="86">
        <f>L90+O90</f>
        <v>0</v>
      </c>
      <c r="L90" s="86"/>
      <c r="M90" s="86"/>
      <c r="N90" s="86"/>
      <c r="O90" s="86"/>
      <c r="P90" s="86"/>
      <c r="Q90" s="89">
        <f>F90+K90</f>
        <v>3389200</v>
      </c>
      <c r="R90" s="76"/>
      <c r="S90" s="76"/>
      <c r="T90" s="76"/>
      <c r="U90" s="6"/>
      <c r="V90" s="9"/>
      <c r="W90" s="9"/>
      <c r="X90" s="7"/>
      <c r="Y90" s="9"/>
    </row>
    <row r="91" spans="1:25" s="98" customFormat="1" ht="48" customHeight="1">
      <c r="A91" s="82">
        <v>1115032</v>
      </c>
      <c r="B91" s="83" t="s">
        <v>103</v>
      </c>
      <c r="C91" s="84" t="s">
        <v>323</v>
      </c>
      <c r="D91" s="84" t="s">
        <v>171</v>
      </c>
      <c r="E91" s="85" t="s">
        <v>322</v>
      </c>
      <c r="F91" s="86">
        <f>G91+J91</f>
        <v>1676600</v>
      </c>
      <c r="G91" s="86">
        <v>1676600</v>
      </c>
      <c r="H91" s="86"/>
      <c r="I91" s="86"/>
      <c r="J91" s="93"/>
      <c r="K91" s="86">
        <f>L91+O91</f>
        <v>0</v>
      </c>
      <c r="L91" s="86"/>
      <c r="M91" s="86"/>
      <c r="N91" s="86"/>
      <c r="O91" s="86"/>
      <c r="P91" s="86"/>
      <c r="Q91" s="89">
        <f>F91+K91</f>
        <v>1676600</v>
      </c>
      <c r="R91" s="76"/>
      <c r="S91" s="76"/>
      <c r="T91" s="76"/>
      <c r="U91" s="6"/>
      <c r="V91" s="9"/>
      <c r="W91" s="9"/>
      <c r="X91" s="7"/>
      <c r="Y91" s="9"/>
    </row>
    <row r="92" spans="1:25" s="99" customFormat="1" ht="49.5" customHeight="1">
      <c r="A92" s="82">
        <v>1115033</v>
      </c>
      <c r="B92" s="83" t="s">
        <v>100</v>
      </c>
      <c r="C92" s="84" t="s">
        <v>269</v>
      </c>
      <c r="D92" s="84" t="s">
        <v>171</v>
      </c>
      <c r="E92" s="85" t="s">
        <v>101</v>
      </c>
      <c r="F92" s="86">
        <f>G92+J92</f>
        <v>3771800</v>
      </c>
      <c r="G92" s="86">
        <v>3771800</v>
      </c>
      <c r="H92" s="86">
        <v>2389700</v>
      </c>
      <c r="I92" s="86">
        <v>65600</v>
      </c>
      <c r="J92" s="93"/>
      <c r="K92" s="86">
        <f>L92+O92</f>
        <v>0</v>
      </c>
      <c r="L92" s="86"/>
      <c r="M92" s="86"/>
      <c r="N92" s="86"/>
      <c r="O92" s="86"/>
      <c r="P92" s="86"/>
      <c r="Q92" s="89">
        <f>F92+K92</f>
        <v>3771800</v>
      </c>
      <c r="R92" s="90"/>
      <c r="S92" s="90"/>
      <c r="T92" s="90"/>
      <c r="U92" s="101"/>
      <c r="V92" s="91"/>
      <c r="W92" s="91"/>
      <c r="X92" s="92"/>
      <c r="Y92" s="91"/>
    </row>
    <row r="93" spans="1:25" s="98" customFormat="1" ht="35.25" customHeight="1">
      <c r="A93" s="4">
        <v>1115050</v>
      </c>
      <c r="B93" s="57"/>
      <c r="C93" s="8" t="s">
        <v>334</v>
      </c>
      <c r="D93" s="8"/>
      <c r="E93" s="36" t="s">
        <v>335</v>
      </c>
      <c r="F93" s="26">
        <f>G93+J93</f>
        <v>762100</v>
      </c>
      <c r="G93" s="26">
        <f>G94</f>
        <v>762100</v>
      </c>
      <c r="H93" s="26">
        <f>H94</f>
        <v>0</v>
      </c>
      <c r="I93" s="26">
        <f>I94</f>
        <v>0</v>
      </c>
      <c r="J93" s="26">
        <f>J94</f>
        <v>0</v>
      </c>
      <c r="K93" s="26">
        <f>L93+O93</f>
        <v>0</v>
      </c>
      <c r="L93" s="26">
        <f>L94</f>
        <v>0</v>
      </c>
      <c r="M93" s="26">
        <f>M94</f>
        <v>0</v>
      </c>
      <c r="N93" s="26">
        <f>N94</f>
        <v>0</v>
      </c>
      <c r="O93" s="26">
        <f>O94</f>
        <v>0</v>
      </c>
      <c r="P93" s="26">
        <f>P94</f>
        <v>0</v>
      </c>
      <c r="Q93" s="16">
        <f>F93+K93</f>
        <v>762100</v>
      </c>
      <c r="R93" s="76"/>
      <c r="S93" s="76"/>
      <c r="T93" s="76"/>
      <c r="U93" s="6"/>
      <c r="V93" s="9"/>
      <c r="W93" s="9"/>
      <c r="X93" s="7"/>
      <c r="Y93" s="9"/>
    </row>
    <row r="94" spans="1:25" s="99" customFormat="1" ht="54.75" customHeight="1">
      <c r="A94" s="82">
        <v>1115053</v>
      </c>
      <c r="B94" s="83" t="s">
        <v>268</v>
      </c>
      <c r="C94" s="84" t="s">
        <v>324</v>
      </c>
      <c r="D94" s="84" t="s">
        <v>171</v>
      </c>
      <c r="E94" s="85" t="s">
        <v>325</v>
      </c>
      <c r="F94" s="86">
        <f t="shared" si="13"/>
        <v>762100</v>
      </c>
      <c r="G94" s="86">
        <v>762100</v>
      </c>
      <c r="H94" s="86"/>
      <c r="I94" s="86"/>
      <c r="J94" s="93"/>
      <c r="K94" s="86">
        <f t="shared" si="14"/>
        <v>0</v>
      </c>
      <c r="L94" s="86"/>
      <c r="M94" s="86"/>
      <c r="N94" s="86"/>
      <c r="O94" s="86"/>
      <c r="P94" s="86"/>
      <c r="Q94" s="89">
        <f t="shared" si="12"/>
        <v>762100</v>
      </c>
      <c r="R94" s="90"/>
      <c r="S94" s="90"/>
      <c r="T94" s="90"/>
      <c r="U94" s="101"/>
      <c r="V94" s="91"/>
      <c r="W94" s="91"/>
      <c r="X94" s="92"/>
      <c r="Y94" s="91"/>
    </row>
    <row r="95" spans="1:25" s="98" customFormat="1" ht="36" customHeight="1">
      <c r="A95" s="4">
        <v>1115060</v>
      </c>
      <c r="B95" s="57"/>
      <c r="C95" s="8" t="s">
        <v>265</v>
      </c>
      <c r="D95" s="8"/>
      <c r="E95" s="36" t="s">
        <v>327</v>
      </c>
      <c r="F95" s="26">
        <f t="shared" si="13"/>
        <v>1776700</v>
      </c>
      <c r="G95" s="26">
        <f>G96+G97</f>
        <v>1776700</v>
      </c>
      <c r="H95" s="26">
        <f aca="true" t="shared" si="15" ref="H95:P95">H96+H97</f>
        <v>425700</v>
      </c>
      <c r="I95" s="26">
        <f t="shared" si="15"/>
        <v>16800</v>
      </c>
      <c r="J95" s="26">
        <f t="shared" si="15"/>
        <v>0</v>
      </c>
      <c r="K95" s="26">
        <f t="shared" si="14"/>
        <v>0</v>
      </c>
      <c r="L95" s="26">
        <f t="shared" si="15"/>
        <v>0</v>
      </c>
      <c r="M95" s="26">
        <f t="shared" si="15"/>
        <v>0</v>
      </c>
      <c r="N95" s="26">
        <f t="shared" si="15"/>
        <v>0</v>
      </c>
      <c r="O95" s="26">
        <f t="shared" si="15"/>
        <v>0</v>
      </c>
      <c r="P95" s="26">
        <f t="shared" si="15"/>
        <v>0</v>
      </c>
      <c r="Q95" s="16">
        <f t="shared" si="12"/>
        <v>1776700</v>
      </c>
      <c r="R95" s="76"/>
      <c r="S95" s="76"/>
      <c r="T95" s="76"/>
      <c r="U95" s="6"/>
      <c r="V95" s="9"/>
      <c r="W95" s="9"/>
      <c r="X95" s="7"/>
      <c r="Y95" s="9"/>
    </row>
    <row r="96" spans="1:25" s="99" customFormat="1" ht="68.25" customHeight="1">
      <c r="A96" s="82">
        <v>1115061</v>
      </c>
      <c r="B96" s="83" t="s">
        <v>102</v>
      </c>
      <c r="C96" s="84" t="s">
        <v>329</v>
      </c>
      <c r="D96" s="84" t="s">
        <v>171</v>
      </c>
      <c r="E96" s="85" t="s">
        <v>328</v>
      </c>
      <c r="F96" s="86">
        <f>G96+J96</f>
        <v>739700</v>
      </c>
      <c r="G96" s="86">
        <v>739700</v>
      </c>
      <c r="H96" s="86">
        <v>425700</v>
      </c>
      <c r="I96" s="86">
        <v>16800</v>
      </c>
      <c r="J96" s="93"/>
      <c r="K96" s="86">
        <f>L96+O96</f>
        <v>0</v>
      </c>
      <c r="L96" s="86"/>
      <c r="M96" s="86"/>
      <c r="N96" s="86"/>
      <c r="O96" s="86"/>
      <c r="P96" s="86"/>
      <c r="Q96" s="89">
        <f>F96+K96</f>
        <v>739700</v>
      </c>
      <c r="R96" s="90"/>
      <c r="S96" s="90"/>
      <c r="T96" s="90"/>
      <c r="U96" s="101"/>
      <c r="V96" s="91"/>
      <c r="W96" s="91"/>
      <c r="X96" s="92"/>
      <c r="Y96" s="91"/>
    </row>
    <row r="97" spans="1:25" s="100" customFormat="1" ht="57" customHeight="1">
      <c r="A97" s="82">
        <v>1115062</v>
      </c>
      <c r="B97" s="83" t="s">
        <v>267</v>
      </c>
      <c r="C97" s="84" t="s">
        <v>331</v>
      </c>
      <c r="D97" s="84" t="s">
        <v>171</v>
      </c>
      <c r="E97" s="85" t="s">
        <v>330</v>
      </c>
      <c r="F97" s="86">
        <f>G97+J97</f>
        <v>1037000</v>
      </c>
      <c r="G97" s="86">
        <v>1037000</v>
      </c>
      <c r="H97" s="86"/>
      <c r="I97" s="86"/>
      <c r="J97" s="93"/>
      <c r="K97" s="86">
        <f>L97+O97</f>
        <v>0</v>
      </c>
      <c r="L97" s="86"/>
      <c r="M97" s="86"/>
      <c r="N97" s="86"/>
      <c r="O97" s="86"/>
      <c r="P97" s="86"/>
      <c r="Q97" s="89">
        <f>F97+K97</f>
        <v>1037000</v>
      </c>
      <c r="R97" s="90">
        <f>F98</f>
        <v>6092800</v>
      </c>
      <c r="S97" s="90">
        <f>P98</f>
        <v>0</v>
      </c>
      <c r="T97" s="90">
        <f>R97+S97</f>
        <v>6092800</v>
      </c>
      <c r="U97" s="101">
        <f>P98+F98</f>
        <v>6092800</v>
      </c>
      <c r="V97" s="91">
        <f>T97-U97</f>
        <v>0</v>
      </c>
      <c r="W97" s="91">
        <f>K98-P98</f>
        <v>40000</v>
      </c>
      <c r="X97" s="100">
        <v>40000</v>
      </c>
      <c r="Y97" s="91">
        <f>W97-X97</f>
        <v>0</v>
      </c>
    </row>
    <row r="98" spans="1:25" s="10" customFormat="1" ht="25.5">
      <c r="A98" s="3">
        <v>2000000</v>
      </c>
      <c r="B98" s="56" t="s">
        <v>59</v>
      </c>
      <c r="C98" s="5"/>
      <c r="D98" s="5"/>
      <c r="E98" s="38" t="s">
        <v>189</v>
      </c>
      <c r="F98" s="26">
        <f t="shared" si="13"/>
        <v>6092800</v>
      </c>
      <c r="G98" s="49">
        <f>G99</f>
        <v>6092800</v>
      </c>
      <c r="H98" s="49">
        <f>H99</f>
        <v>2789900</v>
      </c>
      <c r="I98" s="49">
        <f>I99</f>
        <v>569300</v>
      </c>
      <c r="J98" s="49">
        <f>J99</f>
        <v>0</v>
      </c>
      <c r="K98" s="26">
        <f t="shared" si="14"/>
        <v>40000</v>
      </c>
      <c r="L98" s="49">
        <f>L99</f>
        <v>40000</v>
      </c>
      <c r="M98" s="49">
        <f>M99</f>
        <v>0</v>
      </c>
      <c r="N98" s="49">
        <f>N99</f>
        <v>0</v>
      </c>
      <c r="O98" s="49">
        <f>O99</f>
        <v>0</v>
      </c>
      <c r="P98" s="49">
        <f>P99</f>
        <v>0</v>
      </c>
      <c r="Q98" s="16">
        <f aca="true" t="shared" si="16" ref="Q98:Q126">F98+K98</f>
        <v>6132800</v>
      </c>
      <c r="R98" s="76"/>
      <c r="S98" s="76"/>
      <c r="T98" s="76"/>
      <c r="U98" s="6"/>
      <c r="V98" s="9"/>
      <c r="W98" s="9"/>
      <c r="Y98" s="9"/>
    </row>
    <row r="99" spans="1:25" s="7" customFormat="1" ht="25.5">
      <c r="A99" s="3">
        <v>2010000</v>
      </c>
      <c r="B99" s="56"/>
      <c r="C99" s="5"/>
      <c r="D99" s="5"/>
      <c r="E99" s="38" t="s">
        <v>186</v>
      </c>
      <c r="F99" s="26">
        <f t="shared" si="13"/>
        <v>6092800</v>
      </c>
      <c r="G99" s="49">
        <f>SUM(G101:G102)</f>
        <v>6092800</v>
      </c>
      <c r="H99" s="49">
        <f>SUM(H101:H102)</f>
        <v>2789900</v>
      </c>
      <c r="I99" s="49">
        <f>SUM(I101:I102)</f>
        <v>569300</v>
      </c>
      <c r="J99" s="49">
        <f>SUM(J101:J102)</f>
        <v>0</v>
      </c>
      <c r="K99" s="26">
        <f t="shared" si="14"/>
        <v>40000</v>
      </c>
      <c r="L99" s="49">
        <f>SUM(L101:L102)</f>
        <v>40000</v>
      </c>
      <c r="M99" s="49">
        <f>SUM(M101:M102)</f>
        <v>0</v>
      </c>
      <c r="N99" s="49">
        <f>SUM(N101:N102)</f>
        <v>0</v>
      </c>
      <c r="O99" s="49">
        <f>SUM(O101:O102)</f>
        <v>0</v>
      </c>
      <c r="P99" s="49">
        <f>SUM(P101:P102)</f>
        <v>0</v>
      </c>
      <c r="Q99" s="16">
        <f t="shared" si="16"/>
        <v>6132800</v>
      </c>
      <c r="R99" s="94"/>
      <c r="S99" s="94"/>
      <c r="T99" s="94"/>
      <c r="U99" s="6"/>
      <c r="V99" s="6"/>
      <c r="W99" s="6"/>
      <c r="Y99" s="6"/>
    </row>
    <row r="100" spans="1:25" s="92" customFormat="1" ht="25.5">
      <c r="A100" s="4">
        <v>2013110</v>
      </c>
      <c r="B100" s="57"/>
      <c r="C100" s="8" t="s">
        <v>301</v>
      </c>
      <c r="D100" s="8"/>
      <c r="E100" s="36" t="s">
        <v>302</v>
      </c>
      <c r="F100" s="26">
        <f t="shared" si="13"/>
        <v>6092800</v>
      </c>
      <c r="G100" s="26">
        <f>G101+G102</f>
        <v>6092800</v>
      </c>
      <c r="H100" s="26">
        <f>H101+H102</f>
        <v>2789900</v>
      </c>
      <c r="I100" s="26">
        <f>I101+I102</f>
        <v>569300</v>
      </c>
      <c r="J100" s="26">
        <f>J101+J102</f>
        <v>0</v>
      </c>
      <c r="K100" s="26">
        <f t="shared" si="14"/>
        <v>40000</v>
      </c>
      <c r="L100" s="26">
        <f>L101+L102</f>
        <v>40000</v>
      </c>
      <c r="M100" s="26">
        <f>M101+M102</f>
        <v>0</v>
      </c>
      <c r="N100" s="26">
        <f>N101+N102</f>
        <v>0</v>
      </c>
      <c r="O100" s="26">
        <f>O101+O102</f>
        <v>0</v>
      </c>
      <c r="P100" s="26">
        <f>P101+P102</f>
        <v>0</v>
      </c>
      <c r="Q100" s="16">
        <f t="shared" si="16"/>
        <v>6132800</v>
      </c>
      <c r="R100" s="90"/>
      <c r="S100" s="90"/>
      <c r="T100" s="90"/>
      <c r="U100" s="101"/>
      <c r="V100" s="91"/>
      <c r="W100" s="91"/>
      <c r="Y100" s="91"/>
    </row>
    <row r="101" spans="1:25" s="92" customFormat="1" ht="38.25">
      <c r="A101" s="82">
        <v>2013111</v>
      </c>
      <c r="B101" s="83" t="s">
        <v>60</v>
      </c>
      <c r="C101" s="84" t="s">
        <v>257</v>
      </c>
      <c r="D101" s="84" t="s">
        <v>143</v>
      </c>
      <c r="E101" s="85" t="s">
        <v>123</v>
      </c>
      <c r="F101" s="86">
        <f t="shared" si="13"/>
        <v>5557300</v>
      </c>
      <c r="G101" s="87">
        <v>5557300</v>
      </c>
      <c r="H101" s="87">
        <v>2789900</v>
      </c>
      <c r="I101" s="87">
        <v>569300</v>
      </c>
      <c r="J101" s="88"/>
      <c r="K101" s="86">
        <f t="shared" si="14"/>
        <v>40000</v>
      </c>
      <c r="L101" s="87">
        <v>40000</v>
      </c>
      <c r="M101" s="87"/>
      <c r="N101" s="87"/>
      <c r="O101" s="87"/>
      <c r="P101" s="86"/>
      <c r="Q101" s="89">
        <f t="shared" si="16"/>
        <v>5597300</v>
      </c>
      <c r="R101" s="90"/>
      <c r="S101" s="90"/>
      <c r="T101" s="90"/>
      <c r="U101" s="101"/>
      <c r="V101" s="91"/>
      <c r="W101" s="91"/>
      <c r="Y101" s="91"/>
    </row>
    <row r="102" spans="1:25" s="10" customFormat="1" ht="25.5">
      <c r="A102" s="82">
        <v>2013112</v>
      </c>
      <c r="B102" s="83" t="s">
        <v>62</v>
      </c>
      <c r="C102" s="84" t="s">
        <v>262</v>
      </c>
      <c r="D102" s="84" t="s">
        <v>143</v>
      </c>
      <c r="E102" s="85" t="s">
        <v>109</v>
      </c>
      <c r="F102" s="86">
        <f t="shared" si="13"/>
        <v>535500</v>
      </c>
      <c r="G102" s="87">
        <v>535500</v>
      </c>
      <c r="H102" s="87"/>
      <c r="I102" s="87"/>
      <c r="J102" s="88"/>
      <c r="K102" s="86">
        <f t="shared" si="14"/>
        <v>0</v>
      </c>
      <c r="L102" s="87"/>
      <c r="M102" s="87"/>
      <c r="N102" s="87"/>
      <c r="O102" s="87"/>
      <c r="P102" s="95"/>
      <c r="Q102" s="89">
        <f t="shared" si="16"/>
        <v>535500</v>
      </c>
      <c r="R102" s="76">
        <f>F103</f>
        <v>106542600</v>
      </c>
      <c r="S102" s="76">
        <f>P103</f>
        <v>0</v>
      </c>
      <c r="T102" s="76">
        <f>R102+S102</f>
        <v>106542600</v>
      </c>
      <c r="U102" s="6">
        <f>P103+F103</f>
        <v>106542600</v>
      </c>
      <c r="V102" s="9">
        <f>T102-U102</f>
        <v>0</v>
      </c>
      <c r="W102" s="9">
        <f>K103-P103</f>
        <v>2223580</v>
      </c>
      <c r="X102" s="10">
        <v>2223580</v>
      </c>
      <c r="Y102" s="9">
        <f>W102-X102</f>
        <v>0</v>
      </c>
    </row>
    <row r="103" spans="1:25" s="10" customFormat="1" ht="38.25">
      <c r="A103" s="5" t="s">
        <v>107</v>
      </c>
      <c r="B103" s="56" t="s">
        <v>63</v>
      </c>
      <c r="C103" s="24"/>
      <c r="D103" s="24"/>
      <c r="E103" s="11" t="s">
        <v>237</v>
      </c>
      <c r="F103" s="49">
        <f t="shared" si="13"/>
        <v>106542600</v>
      </c>
      <c r="G103" s="49">
        <f>G104</f>
        <v>106542600</v>
      </c>
      <c r="H103" s="49">
        <f>H104</f>
        <v>21070500</v>
      </c>
      <c r="I103" s="49">
        <f>I104</f>
        <v>2021100</v>
      </c>
      <c r="J103" s="49">
        <f>J104</f>
        <v>0</v>
      </c>
      <c r="K103" s="49">
        <f t="shared" si="14"/>
        <v>2223580</v>
      </c>
      <c r="L103" s="49">
        <f aca="true" t="shared" si="17" ref="L103:Q103">L104</f>
        <v>2126480</v>
      </c>
      <c r="M103" s="49">
        <f t="shared" si="17"/>
        <v>450000</v>
      </c>
      <c r="N103" s="49">
        <f t="shared" si="17"/>
        <v>73800</v>
      </c>
      <c r="O103" s="49">
        <f t="shared" si="17"/>
        <v>97100</v>
      </c>
      <c r="P103" s="49">
        <f t="shared" si="17"/>
        <v>0</v>
      </c>
      <c r="Q103" s="16">
        <f t="shared" si="17"/>
        <v>108766180</v>
      </c>
      <c r="R103" s="76"/>
      <c r="S103" s="76"/>
      <c r="T103" s="76"/>
      <c r="U103" s="6"/>
      <c r="V103" s="9"/>
      <c r="W103" s="9"/>
      <c r="Y103" s="9"/>
    </row>
    <row r="104" spans="1:25" s="7" customFormat="1" ht="38.25">
      <c r="A104" s="5" t="s">
        <v>108</v>
      </c>
      <c r="B104" s="56"/>
      <c r="C104" s="24"/>
      <c r="D104" s="24"/>
      <c r="E104" s="11" t="s">
        <v>238</v>
      </c>
      <c r="F104" s="49">
        <f t="shared" si="13"/>
        <v>106542600</v>
      </c>
      <c r="G104" s="49">
        <f>SUM(G105:G112)</f>
        <v>106542600</v>
      </c>
      <c r="H104" s="49">
        <f>SUM(H105:H112)</f>
        <v>21070500</v>
      </c>
      <c r="I104" s="49">
        <f>SUM(I105:I112)</f>
        <v>2021100</v>
      </c>
      <c r="J104" s="49">
        <f>SUM(J105:J112)</f>
        <v>0</v>
      </c>
      <c r="K104" s="49">
        <f t="shared" si="14"/>
        <v>2223580</v>
      </c>
      <c r="L104" s="49">
        <f>SUM(L105:L112)</f>
        <v>2126480</v>
      </c>
      <c r="M104" s="49">
        <f>SUM(M105:M112)</f>
        <v>450000</v>
      </c>
      <c r="N104" s="49">
        <f>SUM(N105:N112)</f>
        <v>73800</v>
      </c>
      <c r="O104" s="49">
        <f>SUM(O105:O112)</f>
        <v>97100</v>
      </c>
      <c r="P104" s="49">
        <f>SUM(P105:P112)</f>
        <v>0</v>
      </c>
      <c r="Q104" s="16">
        <f t="shared" si="16"/>
        <v>108766180</v>
      </c>
      <c r="R104" s="76"/>
      <c r="S104" s="76"/>
      <c r="T104" s="76"/>
      <c r="U104" s="6"/>
      <c r="V104" s="9"/>
      <c r="W104" s="9"/>
      <c r="Y104" s="9"/>
    </row>
    <row r="105" spans="1:25" s="7" customFormat="1" ht="25.5">
      <c r="A105" s="4">
        <v>2411120</v>
      </c>
      <c r="B105" s="57" t="s">
        <v>28</v>
      </c>
      <c r="C105" s="8" t="s">
        <v>204</v>
      </c>
      <c r="D105" s="8" t="s">
        <v>205</v>
      </c>
      <c r="E105" s="36" t="s">
        <v>64</v>
      </c>
      <c r="F105" s="26">
        <f t="shared" si="13"/>
        <v>34132300</v>
      </c>
      <c r="G105" s="66">
        <v>34132300</v>
      </c>
      <c r="H105" s="66"/>
      <c r="I105" s="66"/>
      <c r="J105" s="18"/>
      <c r="K105" s="26">
        <f t="shared" si="14"/>
        <v>1188280</v>
      </c>
      <c r="L105" s="66">
        <v>1188280</v>
      </c>
      <c r="M105" s="66"/>
      <c r="N105" s="66"/>
      <c r="O105" s="66"/>
      <c r="P105" s="66"/>
      <c r="Q105" s="16">
        <f t="shared" si="16"/>
        <v>35320580</v>
      </c>
      <c r="R105" s="76"/>
      <c r="S105" s="76"/>
      <c r="T105" s="76"/>
      <c r="U105" s="6"/>
      <c r="V105" s="9"/>
      <c r="W105" s="9"/>
      <c r="Y105" s="9"/>
    </row>
    <row r="106" spans="1:25" s="7" customFormat="1" ht="12.75">
      <c r="A106" s="4">
        <v>2414020</v>
      </c>
      <c r="B106" s="57" t="s">
        <v>65</v>
      </c>
      <c r="C106" s="8" t="s">
        <v>239</v>
      </c>
      <c r="D106" s="8" t="s">
        <v>240</v>
      </c>
      <c r="E106" s="36" t="s">
        <v>66</v>
      </c>
      <c r="F106" s="26">
        <f t="shared" si="13"/>
        <v>20418500</v>
      </c>
      <c r="G106" s="66">
        <v>20418500</v>
      </c>
      <c r="H106" s="66"/>
      <c r="I106" s="26"/>
      <c r="J106" s="17"/>
      <c r="K106" s="26">
        <f t="shared" si="14"/>
        <v>0</v>
      </c>
      <c r="L106" s="66"/>
      <c r="M106" s="66"/>
      <c r="N106" s="26"/>
      <c r="O106" s="66">
        <f>P106</f>
        <v>0</v>
      </c>
      <c r="P106" s="66"/>
      <c r="Q106" s="16">
        <f t="shared" si="16"/>
        <v>20418500</v>
      </c>
      <c r="R106" s="76"/>
      <c r="S106" s="76"/>
      <c r="T106" s="76"/>
      <c r="U106" s="6"/>
      <c r="V106" s="9"/>
      <c r="W106" s="9"/>
      <c r="Y106" s="9"/>
    </row>
    <row r="107" spans="1:25" s="7" customFormat="1" ht="38.25">
      <c r="A107" s="4">
        <v>2414030</v>
      </c>
      <c r="B107" s="57" t="s">
        <v>67</v>
      </c>
      <c r="C107" s="8" t="s">
        <v>241</v>
      </c>
      <c r="D107" s="8" t="s">
        <v>242</v>
      </c>
      <c r="E107" s="36" t="s">
        <v>68</v>
      </c>
      <c r="F107" s="26">
        <f t="shared" si="13"/>
        <v>22164100</v>
      </c>
      <c r="G107" s="66">
        <v>22164100</v>
      </c>
      <c r="H107" s="66"/>
      <c r="I107" s="26"/>
      <c r="J107" s="17"/>
      <c r="K107" s="26">
        <f aca="true" t="shared" si="18" ref="K107:K128">L107+O107</f>
        <v>0</v>
      </c>
      <c r="L107" s="66"/>
      <c r="M107" s="66"/>
      <c r="N107" s="26"/>
      <c r="O107" s="66"/>
      <c r="P107" s="66"/>
      <c r="Q107" s="16">
        <f t="shared" si="16"/>
        <v>22164100</v>
      </c>
      <c r="R107" s="76"/>
      <c r="S107" s="76"/>
      <c r="T107" s="76"/>
      <c r="U107" s="6"/>
      <c r="V107" s="9"/>
      <c r="W107" s="9"/>
      <c r="Y107" s="9"/>
    </row>
    <row r="108" spans="1:25" s="7" customFormat="1" ht="12.75">
      <c r="A108" s="4">
        <v>2414060</v>
      </c>
      <c r="B108" s="57" t="s">
        <v>49</v>
      </c>
      <c r="C108" s="8" t="s">
        <v>230</v>
      </c>
      <c r="D108" s="8" t="s">
        <v>231</v>
      </c>
      <c r="E108" s="36" t="s">
        <v>50</v>
      </c>
      <c r="F108" s="26">
        <f t="shared" si="13"/>
        <v>14808600</v>
      </c>
      <c r="G108" s="66">
        <v>14808600</v>
      </c>
      <c r="H108" s="66">
        <v>11086300</v>
      </c>
      <c r="I108" s="66">
        <v>886100</v>
      </c>
      <c r="J108" s="18"/>
      <c r="K108" s="26">
        <f t="shared" si="18"/>
        <v>210100</v>
      </c>
      <c r="L108" s="66">
        <v>158000</v>
      </c>
      <c r="M108" s="66">
        <v>61400</v>
      </c>
      <c r="N108" s="66">
        <v>15350</v>
      </c>
      <c r="O108" s="66">
        <f>52100+P108</f>
        <v>52100</v>
      </c>
      <c r="P108" s="26"/>
      <c r="Q108" s="16">
        <f t="shared" si="16"/>
        <v>15018700</v>
      </c>
      <c r="R108" s="76"/>
      <c r="S108" s="76"/>
      <c r="T108" s="76"/>
      <c r="U108" s="6"/>
      <c r="V108" s="9"/>
      <c r="W108" s="9"/>
      <c r="Y108" s="9"/>
    </row>
    <row r="109" spans="1:25" s="7" customFormat="1" ht="12.75">
      <c r="A109" s="4">
        <v>2414070</v>
      </c>
      <c r="B109" s="57" t="s">
        <v>69</v>
      </c>
      <c r="C109" s="8" t="s">
        <v>243</v>
      </c>
      <c r="D109" s="8" t="s">
        <v>231</v>
      </c>
      <c r="E109" s="36" t="s">
        <v>70</v>
      </c>
      <c r="F109" s="26">
        <f t="shared" si="13"/>
        <v>7696500</v>
      </c>
      <c r="G109" s="66">
        <v>7696500</v>
      </c>
      <c r="H109" s="66">
        <v>5384800</v>
      </c>
      <c r="I109" s="66">
        <v>733900</v>
      </c>
      <c r="J109" s="18"/>
      <c r="K109" s="26">
        <f t="shared" si="18"/>
        <v>197500</v>
      </c>
      <c r="L109" s="66">
        <v>166500</v>
      </c>
      <c r="M109" s="66">
        <v>48400</v>
      </c>
      <c r="N109" s="66">
        <v>9000</v>
      </c>
      <c r="O109" s="66">
        <f>31000+P109</f>
        <v>31000</v>
      </c>
      <c r="P109" s="26"/>
      <c r="Q109" s="16">
        <f t="shared" si="16"/>
        <v>7894000</v>
      </c>
      <c r="R109" s="76"/>
      <c r="S109" s="76"/>
      <c r="T109" s="76"/>
      <c r="U109" s="6"/>
      <c r="V109" s="9"/>
      <c r="W109" s="9"/>
      <c r="Y109" s="9"/>
    </row>
    <row r="110" spans="1:25" s="7" customFormat="1" ht="12.75">
      <c r="A110" s="4">
        <v>2414080</v>
      </c>
      <c r="B110" s="57" t="s">
        <v>71</v>
      </c>
      <c r="C110" s="8" t="s">
        <v>244</v>
      </c>
      <c r="D110" s="8" t="s">
        <v>245</v>
      </c>
      <c r="E110" s="36" t="s">
        <v>72</v>
      </c>
      <c r="F110" s="26">
        <f aca="true" t="shared" si="19" ref="F110:F128">G110+J110</f>
        <v>2518400</v>
      </c>
      <c r="G110" s="66">
        <v>2518400</v>
      </c>
      <c r="H110" s="66">
        <v>1836900</v>
      </c>
      <c r="I110" s="66">
        <v>220900</v>
      </c>
      <c r="J110" s="18"/>
      <c r="K110" s="26">
        <f t="shared" si="18"/>
        <v>527500</v>
      </c>
      <c r="L110" s="66">
        <v>513500</v>
      </c>
      <c r="M110" s="66">
        <v>305200</v>
      </c>
      <c r="N110" s="66">
        <v>36300</v>
      </c>
      <c r="O110" s="66">
        <f>14000+P110</f>
        <v>14000</v>
      </c>
      <c r="P110" s="26"/>
      <c r="Q110" s="16">
        <f t="shared" si="16"/>
        <v>3045900</v>
      </c>
      <c r="R110" s="76"/>
      <c r="S110" s="76"/>
      <c r="T110" s="76"/>
      <c r="U110" s="6"/>
      <c r="V110" s="9"/>
      <c r="W110" s="9"/>
      <c r="Y110" s="9"/>
    </row>
    <row r="111" spans="1:25" s="7" customFormat="1" ht="21.75" customHeight="1">
      <c r="A111" s="4">
        <v>2414200</v>
      </c>
      <c r="B111" s="57" t="s">
        <v>73</v>
      </c>
      <c r="C111" s="8" t="s">
        <v>246</v>
      </c>
      <c r="D111" s="8" t="s">
        <v>247</v>
      </c>
      <c r="E111" s="36" t="s">
        <v>127</v>
      </c>
      <c r="F111" s="26">
        <f t="shared" si="19"/>
        <v>4804200</v>
      </c>
      <c r="G111" s="66">
        <v>4804200</v>
      </c>
      <c r="H111" s="66">
        <v>2762500</v>
      </c>
      <c r="I111" s="66">
        <v>180200</v>
      </c>
      <c r="J111" s="66"/>
      <c r="K111" s="26">
        <f t="shared" si="18"/>
        <v>100200</v>
      </c>
      <c r="L111" s="26">
        <v>100200</v>
      </c>
      <c r="M111" s="66">
        <v>35000</v>
      </c>
      <c r="N111" s="66">
        <v>13150</v>
      </c>
      <c r="O111" s="66"/>
      <c r="P111" s="66"/>
      <c r="Q111" s="16">
        <f t="shared" si="16"/>
        <v>4904400</v>
      </c>
      <c r="R111" s="76"/>
      <c r="S111" s="76"/>
      <c r="T111" s="76"/>
      <c r="U111" s="6"/>
      <c r="V111" s="9"/>
      <c r="W111" s="9"/>
      <c r="Y111" s="9"/>
    </row>
    <row r="112" spans="1:25" s="30" customFormat="1" ht="25.5" hidden="1">
      <c r="A112" s="4">
        <v>2416310</v>
      </c>
      <c r="B112" s="57" t="s">
        <v>25</v>
      </c>
      <c r="C112" s="25" t="s">
        <v>278</v>
      </c>
      <c r="D112" s="25" t="s">
        <v>279</v>
      </c>
      <c r="E112" s="79" t="s">
        <v>110</v>
      </c>
      <c r="F112" s="26">
        <f t="shared" si="19"/>
        <v>0</v>
      </c>
      <c r="G112" s="66"/>
      <c r="H112" s="66"/>
      <c r="I112" s="66"/>
      <c r="J112" s="66"/>
      <c r="K112" s="26">
        <f t="shared" si="18"/>
        <v>0</v>
      </c>
      <c r="L112" s="26"/>
      <c r="M112" s="66"/>
      <c r="N112" s="66"/>
      <c r="O112" s="66">
        <f>P112</f>
        <v>0</v>
      </c>
      <c r="P112" s="66"/>
      <c r="Q112" s="16">
        <f t="shared" si="16"/>
        <v>0</v>
      </c>
      <c r="R112" s="76">
        <f>F113</f>
        <v>50000000</v>
      </c>
      <c r="S112" s="76">
        <f>P113</f>
        <v>0</v>
      </c>
      <c r="T112" s="76">
        <f>R112+S112</f>
        <v>50000000</v>
      </c>
      <c r="U112" s="6">
        <f>P113+F113</f>
        <v>50000000</v>
      </c>
      <c r="V112" s="9">
        <f>T112-U112</f>
        <v>0</v>
      </c>
      <c r="W112" s="9">
        <f>K113-P113</f>
        <v>36809660</v>
      </c>
      <c r="Y112" s="9">
        <f>W112-X112</f>
        <v>36809660</v>
      </c>
    </row>
    <row r="113" spans="1:25" s="30" customFormat="1" ht="25.5">
      <c r="A113" s="41">
        <v>5300000</v>
      </c>
      <c r="B113" s="60">
        <v>53</v>
      </c>
      <c r="C113" s="41"/>
      <c r="D113" s="42"/>
      <c r="E113" s="39" t="s">
        <v>285</v>
      </c>
      <c r="F113" s="49">
        <f t="shared" si="19"/>
        <v>50000000</v>
      </c>
      <c r="G113" s="43">
        <f aca="true" t="shared" si="20" ref="G113:P114">G114</f>
        <v>50000000</v>
      </c>
      <c r="H113" s="43">
        <f t="shared" si="20"/>
        <v>42000000</v>
      </c>
      <c r="I113" s="43">
        <f t="shared" si="20"/>
        <v>0</v>
      </c>
      <c r="J113" s="43">
        <f t="shared" si="20"/>
        <v>0</v>
      </c>
      <c r="K113" s="49">
        <f t="shared" si="18"/>
        <v>36809660</v>
      </c>
      <c r="L113" s="43">
        <f t="shared" si="20"/>
        <v>34980300</v>
      </c>
      <c r="M113" s="43">
        <f t="shared" si="20"/>
        <v>19142800</v>
      </c>
      <c r="N113" s="43">
        <f t="shared" si="20"/>
        <v>1967160</v>
      </c>
      <c r="O113" s="43">
        <f t="shared" si="20"/>
        <v>1829360</v>
      </c>
      <c r="P113" s="43">
        <f t="shared" si="20"/>
        <v>0</v>
      </c>
      <c r="Q113" s="78">
        <f t="shared" si="16"/>
        <v>86809660</v>
      </c>
      <c r="R113" s="76"/>
      <c r="S113" s="76"/>
      <c r="T113" s="76"/>
      <c r="U113" s="6"/>
      <c r="V113" s="9"/>
      <c r="W113" s="9"/>
      <c r="Y113" s="9"/>
    </row>
    <row r="114" spans="1:25" s="7" customFormat="1" ht="38.25">
      <c r="A114" s="41">
        <v>5310000</v>
      </c>
      <c r="B114" s="60"/>
      <c r="C114" s="41"/>
      <c r="D114" s="42"/>
      <c r="E114" s="39" t="s">
        <v>284</v>
      </c>
      <c r="F114" s="49">
        <f t="shared" si="19"/>
        <v>50000000</v>
      </c>
      <c r="G114" s="43">
        <f t="shared" si="20"/>
        <v>50000000</v>
      </c>
      <c r="H114" s="43">
        <f t="shared" si="20"/>
        <v>42000000</v>
      </c>
      <c r="I114" s="43">
        <f t="shared" si="20"/>
        <v>0</v>
      </c>
      <c r="J114" s="43">
        <f t="shared" si="20"/>
        <v>0</v>
      </c>
      <c r="K114" s="49">
        <f t="shared" si="18"/>
        <v>36809660</v>
      </c>
      <c r="L114" s="43">
        <f t="shared" si="20"/>
        <v>34980300</v>
      </c>
      <c r="M114" s="43">
        <f t="shared" si="20"/>
        <v>19142800</v>
      </c>
      <c r="N114" s="43">
        <f t="shared" si="20"/>
        <v>1967160</v>
      </c>
      <c r="O114" s="43">
        <f t="shared" si="20"/>
        <v>1829360</v>
      </c>
      <c r="P114" s="43">
        <f t="shared" si="20"/>
        <v>0</v>
      </c>
      <c r="Q114" s="78">
        <f t="shared" si="16"/>
        <v>86809660</v>
      </c>
      <c r="R114" s="76"/>
      <c r="S114" s="76"/>
      <c r="T114" s="76"/>
      <c r="U114" s="6"/>
      <c r="V114" s="9"/>
      <c r="W114" s="9"/>
      <c r="Y114" s="9"/>
    </row>
    <row r="115" spans="1:25" s="30" customFormat="1" ht="69" customHeight="1">
      <c r="A115" s="44">
        <v>5317340</v>
      </c>
      <c r="B115" s="61">
        <v>160904</v>
      </c>
      <c r="C115" s="44">
        <v>7340</v>
      </c>
      <c r="D115" s="45" t="s">
        <v>137</v>
      </c>
      <c r="E115" s="40" t="s">
        <v>138</v>
      </c>
      <c r="F115" s="26">
        <f t="shared" si="19"/>
        <v>50000000</v>
      </c>
      <c r="G115" s="46">
        <v>50000000</v>
      </c>
      <c r="H115" s="46">
        <v>42000000</v>
      </c>
      <c r="I115" s="46"/>
      <c r="J115" s="48"/>
      <c r="K115" s="26">
        <f t="shared" si="18"/>
        <v>36809660</v>
      </c>
      <c r="L115" s="46">
        <v>34980300</v>
      </c>
      <c r="M115" s="46">
        <v>19142800</v>
      </c>
      <c r="N115" s="46">
        <v>1967160</v>
      </c>
      <c r="O115" s="46">
        <v>1829360</v>
      </c>
      <c r="P115" s="46"/>
      <c r="Q115" s="78">
        <f t="shared" si="16"/>
        <v>86809660</v>
      </c>
      <c r="R115" s="76">
        <f>F116</f>
        <v>0</v>
      </c>
      <c r="S115" s="76">
        <f>P116</f>
        <v>0</v>
      </c>
      <c r="T115" s="76">
        <f>R115+S115</f>
        <v>0</v>
      </c>
      <c r="U115" s="6">
        <f>P116+F116</f>
        <v>0</v>
      </c>
      <c r="V115" s="9">
        <f>T115-U115</f>
        <v>0</v>
      </c>
      <c r="W115" s="9">
        <f>K116-P116</f>
        <v>493210</v>
      </c>
      <c r="Y115" s="9">
        <f>W115-X115</f>
        <v>493210</v>
      </c>
    </row>
    <row r="116" spans="1:25" s="30" customFormat="1" ht="30" customHeight="1">
      <c r="A116" s="41">
        <v>6000000</v>
      </c>
      <c r="B116" s="60">
        <v>60</v>
      </c>
      <c r="C116" s="41"/>
      <c r="D116" s="42"/>
      <c r="E116" s="39" t="s">
        <v>314</v>
      </c>
      <c r="F116" s="49">
        <f t="shared" si="19"/>
        <v>0</v>
      </c>
      <c r="G116" s="43">
        <f aca="true" t="shared" si="21" ref="G116:P116">G117</f>
        <v>0</v>
      </c>
      <c r="H116" s="43">
        <f t="shared" si="21"/>
        <v>0</v>
      </c>
      <c r="I116" s="43">
        <f t="shared" si="21"/>
        <v>0</v>
      </c>
      <c r="J116" s="43">
        <f t="shared" si="21"/>
        <v>0</v>
      </c>
      <c r="K116" s="49">
        <f t="shared" si="18"/>
        <v>493210</v>
      </c>
      <c r="L116" s="43">
        <f t="shared" si="21"/>
        <v>493210</v>
      </c>
      <c r="M116" s="43">
        <f t="shared" si="21"/>
        <v>0</v>
      </c>
      <c r="N116" s="43">
        <f t="shared" si="21"/>
        <v>0</v>
      </c>
      <c r="O116" s="43">
        <f t="shared" si="21"/>
        <v>0</v>
      </c>
      <c r="P116" s="43">
        <f t="shared" si="21"/>
        <v>0</v>
      </c>
      <c r="Q116" s="78">
        <f t="shared" si="16"/>
        <v>493210</v>
      </c>
      <c r="R116" s="76"/>
      <c r="S116" s="76"/>
      <c r="T116" s="76"/>
      <c r="U116" s="6"/>
      <c r="V116" s="9"/>
      <c r="W116" s="9"/>
      <c r="Y116" s="9"/>
    </row>
    <row r="117" spans="1:25" s="10" customFormat="1" ht="45" customHeight="1">
      <c r="A117" s="41">
        <v>6010000</v>
      </c>
      <c r="B117" s="60"/>
      <c r="C117" s="41"/>
      <c r="D117" s="42"/>
      <c r="E117" s="39" t="s">
        <v>315</v>
      </c>
      <c r="F117" s="49">
        <f t="shared" si="19"/>
        <v>0</v>
      </c>
      <c r="G117" s="43">
        <f>SUM(G118:G119)</f>
        <v>0</v>
      </c>
      <c r="H117" s="43">
        <f>SUM(H118:H119)</f>
        <v>0</v>
      </c>
      <c r="I117" s="43">
        <f>SUM(I118:I119)</f>
        <v>0</v>
      </c>
      <c r="J117" s="43">
        <f>SUM(J118:J119)</f>
        <v>0</v>
      </c>
      <c r="K117" s="49">
        <f t="shared" si="18"/>
        <v>493210</v>
      </c>
      <c r="L117" s="43">
        <f>SUM(L118:L119)</f>
        <v>493210</v>
      </c>
      <c r="M117" s="43">
        <f>SUM(M118:M119)</f>
        <v>0</v>
      </c>
      <c r="N117" s="43">
        <f>SUM(N118:N119)</f>
        <v>0</v>
      </c>
      <c r="O117" s="43">
        <f>SUM(O118:O119)</f>
        <v>0</v>
      </c>
      <c r="P117" s="43">
        <f>SUM(P118:P119)</f>
        <v>0</v>
      </c>
      <c r="Q117" s="78">
        <f t="shared" si="16"/>
        <v>493210</v>
      </c>
      <c r="R117" s="76"/>
      <c r="S117" s="76"/>
      <c r="T117" s="76"/>
      <c r="U117" s="6"/>
      <c r="V117" s="9"/>
      <c r="W117" s="9"/>
      <c r="Y117" s="9"/>
    </row>
    <row r="118" spans="1:25" s="10" customFormat="1" ht="63.75">
      <c r="A118" s="81">
        <v>6019140</v>
      </c>
      <c r="B118" s="61">
        <v>240604</v>
      </c>
      <c r="C118" s="44">
        <v>9140</v>
      </c>
      <c r="D118" s="47" t="s">
        <v>139</v>
      </c>
      <c r="E118" s="40" t="s">
        <v>140</v>
      </c>
      <c r="F118" s="26">
        <f t="shared" si="19"/>
        <v>0</v>
      </c>
      <c r="G118" s="48"/>
      <c r="H118" s="46"/>
      <c r="I118" s="46"/>
      <c r="J118" s="48"/>
      <c r="K118" s="26">
        <f t="shared" si="18"/>
        <v>10450</v>
      </c>
      <c r="L118" s="46">
        <v>10450</v>
      </c>
      <c r="M118" s="46"/>
      <c r="N118" s="46"/>
      <c r="O118" s="46"/>
      <c r="P118" s="46"/>
      <c r="Q118" s="78">
        <f t="shared" si="16"/>
        <v>10450</v>
      </c>
      <c r="R118" s="76"/>
      <c r="S118" s="76"/>
      <c r="T118" s="76"/>
      <c r="U118" s="6"/>
      <c r="V118" s="9"/>
      <c r="W118" s="9"/>
      <c r="Y118" s="9"/>
    </row>
    <row r="119" spans="1:25" s="7" customFormat="1" ht="59.25" customHeight="1">
      <c r="A119" s="81">
        <v>6019150</v>
      </c>
      <c r="B119" s="61">
        <v>240605</v>
      </c>
      <c r="C119" s="44">
        <v>9150</v>
      </c>
      <c r="D119" s="47" t="s">
        <v>141</v>
      </c>
      <c r="E119" s="40" t="s">
        <v>142</v>
      </c>
      <c r="F119" s="26">
        <f t="shared" si="19"/>
        <v>0</v>
      </c>
      <c r="G119" s="48"/>
      <c r="H119" s="46"/>
      <c r="I119" s="46"/>
      <c r="J119" s="48"/>
      <c r="K119" s="26">
        <f t="shared" si="18"/>
        <v>482760</v>
      </c>
      <c r="L119" s="46">
        <v>482760</v>
      </c>
      <c r="M119" s="46"/>
      <c r="N119" s="46"/>
      <c r="O119" s="46"/>
      <c r="P119" s="46"/>
      <c r="Q119" s="78">
        <f t="shared" si="16"/>
        <v>482760</v>
      </c>
      <c r="R119" s="76">
        <f>F120</f>
        <v>4321494552</v>
      </c>
      <c r="S119" s="76">
        <f>P120</f>
        <v>0</v>
      </c>
      <c r="T119" s="76">
        <f>R119+S119</f>
        <v>4321494552</v>
      </c>
      <c r="U119" s="6">
        <f>P120+F120</f>
        <v>4321494552</v>
      </c>
      <c r="V119" s="9">
        <f>T119-U119</f>
        <v>0</v>
      </c>
      <c r="W119" s="9">
        <f aca="true" t="shared" si="22" ref="W119:W126">K120-P120</f>
        <v>0</v>
      </c>
      <c r="Y119" s="9">
        <f aca="true" t="shared" si="23" ref="Y119:Y128">W119-X119</f>
        <v>0</v>
      </c>
    </row>
    <row r="120" spans="1:25" s="7" customFormat="1" ht="42" customHeight="1">
      <c r="A120" s="3">
        <v>7600000</v>
      </c>
      <c r="B120" s="59">
        <v>76</v>
      </c>
      <c r="C120" s="3"/>
      <c r="D120" s="3"/>
      <c r="E120" s="37" t="s">
        <v>313</v>
      </c>
      <c r="F120" s="49">
        <f>SUM(F121)</f>
        <v>4321494552</v>
      </c>
      <c r="G120" s="49">
        <f>SUM(G121)</f>
        <v>4321494552</v>
      </c>
      <c r="H120" s="49">
        <f aca="true" t="shared" si="24" ref="H120:Q120">SUM(H121)</f>
        <v>0</v>
      </c>
      <c r="I120" s="49">
        <f t="shared" si="24"/>
        <v>0</v>
      </c>
      <c r="J120" s="49">
        <f t="shared" si="24"/>
        <v>0</v>
      </c>
      <c r="K120" s="49">
        <f t="shared" si="18"/>
        <v>0</v>
      </c>
      <c r="L120" s="49">
        <f t="shared" si="24"/>
        <v>0</v>
      </c>
      <c r="M120" s="49">
        <f t="shared" si="24"/>
        <v>0</v>
      </c>
      <c r="N120" s="49">
        <f t="shared" si="24"/>
        <v>0</v>
      </c>
      <c r="O120" s="49">
        <f t="shared" si="24"/>
        <v>0</v>
      </c>
      <c r="P120" s="49">
        <f t="shared" si="24"/>
        <v>0</v>
      </c>
      <c r="Q120" s="16">
        <f t="shared" si="24"/>
        <v>4321494552</v>
      </c>
      <c r="R120" s="76">
        <f>F121</f>
        <v>4321494552</v>
      </c>
      <c r="S120" s="76">
        <f>P121</f>
        <v>0</v>
      </c>
      <c r="T120" s="76">
        <f>R120+S120</f>
        <v>4321494552</v>
      </c>
      <c r="U120" s="6"/>
      <c r="V120" s="9">
        <f>T120-U120</f>
        <v>4321494552</v>
      </c>
      <c r="W120" s="9">
        <f t="shared" si="22"/>
        <v>0</v>
      </c>
      <c r="Y120" s="9">
        <f t="shared" si="23"/>
        <v>0</v>
      </c>
    </row>
    <row r="121" spans="1:25" s="7" customFormat="1" ht="30" customHeight="1">
      <c r="A121" s="3">
        <v>7610000</v>
      </c>
      <c r="B121" s="59"/>
      <c r="C121" s="3"/>
      <c r="D121" s="3"/>
      <c r="E121" s="37" t="s">
        <v>337</v>
      </c>
      <c r="F121" s="49">
        <f>SUM(F122:F127)</f>
        <v>4321494552</v>
      </c>
      <c r="G121" s="49">
        <f aca="true" t="shared" si="25" ref="G121:Q121">SUM(G122:G127)</f>
        <v>4321494552</v>
      </c>
      <c r="H121" s="49">
        <f t="shared" si="25"/>
        <v>0</v>
      </c>
      <c r="I121" s="49">
        <f t="shared" si="25"/>
        <v>0</v>
      </c>
      <c r="J121" s="49">
        <f t="shared" si="25"/>
        <v>0</v>
      </c>
      <c r="K121" s="49">
        <f t="shared" si="18"/>
        <v>0</v>
      </c>
      <c r="L121" s="49">
        <f t="shared" si="25"/>
        <v>0</v>
      </c>
      <c r="M121" s="49">
        <f t="shared" si="25"/>
        <v>0</v>
      </c>
      <c r="N121" s="49">
        <f t="shared" si="25"/>
        <v>0</v>
      </c>
      <c r="O121" s="49">
        <f t="shared" si="25"/>
        <v>0</v>
      </c>
      <c r="P121" s="49">
        <f t="shared" si="25"/>
        <v>0</v>
      </c>
      <c r="Q121" s="16">
        <f t="shared" si="25"/>
        <v>4321494552</v>
      </c>
      <c r="R121" s="76"/>
      <c r="S121" s="76"/>
      <c r="T121" s="76"/>
      <c r="U121" s="6"/>
      <c r="V121" s="9"/>
      <c r="W121" s="9">
        <f t="shared" si="22"/>
        <v>0</v>
      </c>
      <c r="Y121" s="9">
        <f t="shared" si="23"/>
        <v>0</v>
      </c>
    </row>
    <row r="122" spans="1:25" s="7" customFormat="1" ht="111" customHeight="1">
      <c r="A122" s="8" t="s">
        <v>308</v>
      </c>
      <c r="B122" s="57" t="s">
        <v>75</v>
      </c>
      <c r="C122" s="8" t="s">
        <v>309</v>
      </c>
      <c r="D122" s="8" t="s">
        <v>195</v>
      </c>
      <c r="E122" s="36" t="s">
        <v>286</v>
      </c>
      <c r="F122" s="26">
        <f t="shared" si="19"/>
        <v>1952723200</v>
      </c>
      <c r="G122" s="26">
        <v>1952723200</v>
      </c>
      <c r="H122" s="26"/>
      <c r="I122" s="26"/>
      <c r="J122" s="17"/>
      <c r="K122" s="26">
        <f t="shared" si="18"/>
        <v>0</v>
      </c>
      <c r="L122" s="26"/>
      <c r="M122" s="26"/>
      <c r="N122" s="26"/>
      <c r="O122" s="26"/>
      <c r="P122" s="26"/>
      <c r="Q122" s="16">
        <f t="shared" si="16"/>
        <v>1952723200</v>
      </c>
      <c r="R122" s="76"/>
      <c r="S122" s="76"/>
      <c r="T122" s="76"/>
      <c r="U122" s="6"/>
      <c r="V122" s="9"/>
      <c r="W122" s="9">
        <f t="shared" si="22"/>
        <v>0</v>
      </c>
      <c r="Y122" s="9">
        <f t="shared" si="23"/>
        <v>0</v>
      </c>
    </row>
    <row r="123" spans="1:25" s="7" customFormat="1" ht="127.5" customHeight="1">
      <c r="A123" s="8" t="s">
        <v>196</v>
      </c>
      <c r="B123" s="57" t="s">
        <v>76</v>
      </c>
      <c r="C123" s="8" t="s">
        <v>197</v>
      </c>
      <c r="D123" s="8" t="s">
        <v>195</v>
      </c>
      <c r="E123" s="34" t="s">
        <v>287</v>
      </c>
      <c r="F123" s="26">
        <f t="shared" si="19"/>
        <v>2260429200</v>
      </c>
      <c r="G123" s="26">
        <v>2260429200</v>
      </c>
      <c r="H123" s="26"/>
      <c r="I123" s="26"/>
      <c r="J123" s="17"/>
      <c r="K123" s="26">
        <f t="shared" si="18"/>
        <v>0</v>
      </c>
      <c r="L123" s="26"/>
      <c r="M123" s="26"/>
      <c r="N123" s="26"/>
      <c r="O123" s="26"/>
      <c r="P123" s="26"/>
      <c r="Q123" s="16">
        <f t="shared" si="16"/>
        <v>2260429200</v>
      </c>
      <c r="R123" s="76"/>
      <c r="S123" s="76"/>
      <c r="T123" s="76"/>
      <c r="U123" s="6"/>
      <c r="V123" s="9"/>
      <c r="W123" s="9">
        <f t="shared" si="22"/>
        <v>0</v>
      </c>
      <c r="Y123" s="9">
        <f t="shared" si="23"/>
        <v>0</v>
      </c>
    </row>
    <row r="124" spans="1:25" ht="81" customHeight="1">
      <c r="A124" s="8" t="s">
        <v>198</v>
      </c>
      <c r="B124" s="57" t="s">
        <v>77</v>
      </c>
      <c r="C124" s="8" t="s">
        <v>199</v>
      </c>
      <c r="D124" s="8" t="s">
        <v>195</v>
      </c>
      <c r="E124" s="34" t="s">
        <v>336</v>
      </c>
      <c r="F124" s="26">
        <f t="shared" si="19"/>
        <v>83716000</v>
      </c>
      <c r="G124" s="26">
        <v>83716000</v>
      </c>
      <c r="H124" s="26"/>
      <c r="I124" s="26"/>
      <c r="J124" s="17"/>
      <c r="K124" s="26">
        <f t="shared" si="18"/>
        <v>0</v>
      </c>
      <c r="L124" s="26"/>
      <c r="M124" s="26"/>
      <c r="N124" s="26"/>
      <c r="O124" s="26"/>
      <c r="P124" s="26"/>
      <c r="Q124" s="16">
        <f t="shared" si="16"/>
        <v>83716000</v>
      </c>
      <c r="R124" s="76"/>
      <c r="S124" s="76"/>
      <c r="T124" s="76"/>
      <c r="U124" s="6"/>
      <c r="V124" s="9"/>
      <c r="W124" s="9">
        <f t="shared" si="22"/>
        <v>0</v>
      </c>
      <c r="X124" s="7"/>
      <c r="Y124" s="9">
        <f t="shared" si="23"/>
        <v>0</v>
      </c>
    </row>
    <row r="125" spans="1:25" ht="198.75" customHeight="1">
      <c r="A125" s="8" t="s">
        <v>200</v>
      </c>
      <c r="B125" s="57" t="s">
        <v>78</v>
      </c>
      <c r="C125" s="8" t="s">
        <v>201</v>
      </c>
      <c r="D125" s="8" t="s">
        <v>195</v>
      </c>
      <c r="E125" s="36" t="s">
        <v>266</v>
      </c>
      <c r="F125" s="26">
        <f t="shared" si="19"/>
        <v>21740600</v>
      </c>
      <c r="G125" s="26">
        <v>21740600</v>
      </c>
      <c r="H125" s="26"/>
      <c r="I125" s="26"/>
      <c r="J125" s="17"/>
      <c r="K125" s="26">
        <f t="shared" si="18"/>
        <v>0</v>
      </c>
      <c r="L125" s="26"/>
      <c r="M125" s="26"/>
      <c r="N125" s="26"/>
      <c r="O125" s="26"/>
      <c r="P125" s="26"/>
      <c r="Q125" s="16">
        <f t="shared" si="16"/>
        <v>21740600</v>
      </c>
      <c r="R125" s="76">
        <f>F126</f>
        <v>2385552</v>
      </c>
      <c r="S125" s="76">
        <f>P126</f>
        <v>0</v>
      </c>
      <c r="T125" s="76">
        <f>R125+S125</f>
        <v>2385552</v>
      </c>
      <c r="U125" s="6">
        <f>P126+F126</f>
        <v>2385552</v>
      </c>
      <c r="V125" s="9">
        <f>T125-U125</f>
        <v>0</v>
      </c>
      <c r="W125" s="9">
        <f t="shared" si="22"/>
        <v>0</v>
      </c>
      <c r="X125" s="7"/>
      <c r="Y125" s="9">
        <f t="shared" si="23"/>
        <v>0</v>
      </c>
    </row>
    <row r="126" spans="1:25" s="69" customFormat="1" ht="15" customHeight="1">
      <c r="A126" s="8" t="s">
        <v>292</v>
      </c>
      <c r="B126" s="62" t="s">
        <v>79</v>
      </c>
      <c r="C126" s="19" t="s">
        <v>293</v>
      </c>
      <c r="D126" s="19" t="s">
        <v>195</v>
      </c>
      <c r="E126" s="35" t="s">
        <v>80</v>
      </c>
      <c r="F126" s="26">
        <f t="shared" si="19"/>
        <v>2385552</v>
      </c>
      <c r="G126" s="66">
        <v>2385552</v>
      </c>
      <c r="H126" s="66"/>
      <c r="I126" s="49"/>
      <c r="J126" s="16"/>
      <c r="K126" s="26">
        <f t="shared" si="18"/>
        <v>0</v>
      </c>
      <c r="L126" s="66"/>
      <c r="M126" s="66"/>
      <c r="N126" s="49"/>
      <c r="O126" s="66"/>
      <c r="P126" s="66"/>
      <c r="Q126" s="16">
        <f t="shared" si="16"/>
        <v>2385552</v>
      </c>
      <c r="R126" s="76">
        <f>F127</f>
        <v>500000</v>
      </c>
      <c r="S126" s="76">
        <f>P127</f>
        <v>0</v>
      </c>
      <c r="T126" s="76">
        <f>R126+S126</f>
        <v>500000</v>
      </c>
      <c r="U126" s="6">
        <f>P127+F127</f>
        <v>500000</v>
      </c>
      <c r="V126" s="9">
        <f>T126-U126</f>
        <v>0</v>
      </c>
      <c r="W126" s="9">
        <f t="shared" si="22"/>
        <v>0</v>
      </c>
      <c r="X126" s="10"/>
      <c r="Y126" s="9">
        <f t="shared" si="23"/>
        <v>0</v>
      </c>
    </row>
    <row r="127" spans="1:25" ht="20.25" customHeight="1">
      <c r="A127" s="5" t="s">
        <v>106</v>
      </c>
      <c r="B127" s="56" t="s">
        <v>81</v>
      </c>
      <c r="C127" s="5"/>
      <c r="D127" s="5"/>
      <c r="E127" s="37" t="s">
        <v>82</v>
      </c>
      <c r="F127" s="49">
        <f t="shared" si="19"/>
        <v>500000</v>
      </c>
      <c r="G127" s="49">
        <f>G128</f>
        <v>500000</v>
      </c>
      <c r="H127" s="49">
        <f>H128</f>
        <v>0</v>
      </c>
      <c r="I127" s="49">
        <f>I128</f>
        <v>0</v>
      </c>
      <c r="J127" s="49">
        <f>J128</f>
        <v>0</v>
      </c>
      <c r="K127" s="49">
        <f t="shared" si="18"/>
        <v>0</v>
      </c>
      <c r="L127" s="49">
        <f>L128</f>
        <v>0</v>
      </c>
      <c r="M127" s="49">
        <f>M128</f>
        <v>0</v>
      </c>
      <c r="N127" s="49">
        <f>N128</f>
        <v>0</v>
      </c>
      <c r="O127" s="49">
        <f>O128</f>
        <v>0</v>
      </c>
      <c r="P127" s="49">
        <f>P128</f>
        <v>0</v>
      </c>
      <c r="Q127" s="16">
        <f>F127+K127</f>
        <v>500000</v>
      </c>
      <c r="R127" s="76"/>
      <c r="S127" s="76"/>
      <c r="T127" s="76"/>
      <c r="U127" s="6"/>
      <c r="V127" s="9"/>
      <c r="W127" s="9"/>
      <c r="X127" s="7"/>
      <c r="Y127" s="9">
        <f t="shared" si="23"/>
        <v>0</v>
      </c>
    </row>
    <row r="128" spans="1:25" ht="24.75" customHeight="1">
      <c r="A128" s="5" t="s">
        <v>202</v>
      </c>
      <c r="B128" s="57" t="s">
        <v>83</v>
      </c>
      <c r="C128" s="8" t="s">
        <v>203</v>
      </c>
      <c r="D128" s="8" t="s">
        <v>194</v>
      </c>
      <c r="E128" s="36" t="s">
        <v>310</v>
      </c>
      <c r="F128" s="26">
        <f t="shared" si="19"/>
        <v>500000</v>
      </c>
      <c r="G128" s="26">
        <v>500000</v>
      </c>
      <c r="H128" s="26"/>
      <c r="I128" s="26"/>
      <c r="J128" s="17"/>
      <c r="K128" s="26">
        <f t="shared" si="18"/>
        <v>0</v>
      </c>
      <c r="L128" s="26"/>
      <c r="M128" s="26"/>
      <c r="N128" s="26"/>
      <c r="O128" s="26">
        <v>0</v>
      </c>
      <c r="P128" s="26">
        <v>0</v>
      </c>
      <c r="Q128" s="16">
        <f>F128+K128</f>
        <v>500000</v>
      </c>
      <c r="R128" s="76">
        <f>F129</f>
        <v>6070811772</v>
      </c>
      <c r="S128" s="76">
        <f>P129</f>
        <v>64687038</v>
      </c>
      <c r="T128" s="76">
        <f>R128+S128</f>
        <v>6135498810</v>
      </c>
      <c r="U128" s="6">
        <f>P129+F129</f>
        <v>6135498810</v>
      </c>
      <c r="V128" s="9">
        <f>T128-U128</f>
        <v>0</v>
      </c>
      <c r="W128" s="9">
        <f>K129-P129</f>
        <v>157916534</v>
      </c>
      <c r="X128" s="7"/>
      <c r="Y128" s="9">
        <f t="shared" si="23"/>
        <v>157916534</v>
      </c>
    </row>
    <row r="129" spans="1:25" ht="12.75">
      <c r="A129" s="5"/>
      <c r="B129" s="56"/>
      <c r="C129" s="5"/>
      <c r="D129" s="5"/>
      <c r="E129" s="37" t="s">
        <v>104</v>
      </c>
      <c r="F129" s="49">
        <f aca="true" t="shared" si="26" ref="F129:Q129">F14+F19+F22+F40+F63+F73+F98+F103+F113+F116+F120</f>
        <v>6070811772</v>
      </c>
      <c r="G129" s="49">
        <f t="shared" si="26"/>
        <v>6070811772</v>
      </c>
      <c r="H129" s="49">
        <f t="shared" si="26"/>
        <v>879708100</v>
      </c>
      <c r="I129" s="49">
        <f t="shared" si="26"/>
        <v>116368350</v>
      </c>
      <c r="J129" s="49">
        <f t="shared" si="26"/>
        <v>0</v>
      </c>
      <c r="K129" s="49">
        <f t="shared" si="26"/>
        <v>222603572</v>
      </c>
      <c r="L129" s="49">
        <f t="shared" si="26"/>
        <v>138623504</v>
      </c>
      <c r="M129" s="49">
        <f t="shared" si="26"/>
        <v>27812153</v>
      </c>
      <c r="N129" s="49">
        <f t="shared" si="26"/>
        <v>4818403</v>
      </c>
      <c r="O129" s="49">
        <f t="shared" si="26"/>
        <v>83980068</v>
      </c>
      <c r="P129" s="49">
        <f t="shared" si="26"/>
        <v>64687038</v>
      </c>
      <c r="Q129" s="16">
        <f t="shared" si="26"/>
        <v>6293415344</v>
      </c>
      <c r="R129" s="6"/>
      <c r="S129" s="6"/>
      <c r="T129" s="6"/>
      <c r="U129" s="7"/>
      <c r="V129" s="7"/>
      <c r="W129" s="7"/>
      <c r="X129" s="7"/>
      <c r="Y129" s="7"/>
    </row>
    <row r="130" spans="1:20" ht="12.75">
      <c r="A130" s="7"/>
      <c r="B130" s="63"/>
      <c r="C130" s="7"/>
      <c r="D130" s="7"/>
      <c r="E130" s="7"/>
      <c r="F130" s="50"/>
      <c r="G130" s="50"/>
      <c r="H130" s="50"/>
      <c r="I130" s="50"/>
      <c r="J130" s="6"/>
      <c r="K130" s="50"/>
      <c r="L130" s="50"/>
      <c r="M130" s="50"/>
      <c r="N130" s="50"/>
      <c r="O130" s="50"/>
      <c r="P130" s="50"/>
      <c r="Q130" s="6"/>
      <c r="R130" s="21"/>
      <c r="S130" s="21"/>
      <c r="T130" s="21"/>
    </row>
    <row r="131" spans="6:20" ht="12.75">
      <c r="F131" s="51"/>
      <c r="G131" s="51"/>
      <c r="H131" s="51"/>
      <c r="I131" s="51"/>
      <c r="J131" s="13"/>
      <c r="K131" s="53"/>
      <c r="L131" s="51"/>
      <c r="M131" s="51"/>
      <c r="N131" s="51"/>
      <c r="O131" s="51"/>
      <c r="P131" s="51"/>
      <c r="Q131" s="21"/>
      <c r="R131" s="75">
        <v>6293359944</v>
      </c>
      <c r="S131" s="75"/>
      <c r="T131" s="75"/>
    </row>
    <row r="132" spans="5:20" ht="12.75">
      <c r="E132" s="73" t="s">
        <v>272</v>
      </c>
      <c r="F132" s="74">
        <f>'[1]дод 1'!$D$79</f>
        <v>6135798810</v>
      </c>
      <c r="G132" s="74"/>
      <c r="H132" s="74"/>
      <c r="I132" s="74"/>
      <c r="J132" s="74"/>
      <c r="K132" s="75">
        <f>'[1]дод 1'!$E$79</f>
        <v>157916534</v>
      </c>
      <c r="L132" s="74"/>
      <c r="M132" s="74"/>
      <c r="N132" s="74"/>
      <c r="O132" s="74"/>
      <c r="P132" s="74"/>
      <c r="Q132" s="6">
        <f>F132+K132</f>
        <v>6293715344</v>
      </c>
      <c r="R132" s="75"/>
      <c r="S132" s="75"/>
      <c r="T132" s="75"/>
    </row>
    <row r="133" spans="5:20" ht="12.75">
      <c r="E133" s="73" t="s">
        <v>273</v>
      </c>
      <c r="F133" s="74"/>
      <c r="G133" s="74"/>
      <c r="H133" s="74"/>
      <c r="I133" s="74"/>
      <c r="J133" s="74"/>
      <c r="K133" s="75"/>
      <c r="L133" s="74"/>
      <c r="M133" s="74"/>
      <c r="N133" s="74"/>
      <c r="O133" s="74"/>
      <c r="P133" s="74"/>
      <c r="Q133" s="6">
        <f>F133+K133</f>
        <v>0</v>
      </c>
      <c r="R133" s="75"/>
      <c r="S133" s="75"/>
      <c r="T133" s="75"/>
    </row>
    <row r="134" spans="5:20" ht="12.75">
      <c r="E134" s="73" t="s">
        <v>274</v>
      </c>
      <c r="F134" s="74">
        <f>'[2]dod5'!$M$21</f>
        <v>300000</v>
      </c>
      <c r="G134" s="74"/>
      <c r="H134" s="74"/>
      <c r="I134" s="74"/>
      <c r="J134" s="74"/>
      <c r="K134" s="75">
        <f>'[2]dod5'!$N$21</f>
        <v>0</v>
      </c>
      <c r="L134" s="74"/>
      <c r="M134" s="74"/>
      <c r="N134" s="74"/>
      <c r="O134" s="74"/>
      <c r="P134" s="74"/>
      <c r="Q134" s="6">
        <f>F134+K134</f>
        <v>300000</v>
      </c>
      <c r="R134" s="75"/>
      <c r="S134" s="75"/>
      <c r="T134" s="75"/>
    </row>
    <row r="135" spans="5:20" ht="12.75">
      <c r="E135" s="73" t="s">
        <v>275</v>
      </c>
      <c r="F135" s="74">
        <f>'[3]dod4'!$D$13</f>
        <v>-64687038</v>
      </c>
      <c r="G135" s="74"/>
      <c r="H135" s="74"/>
      <c r="I135" s="74"/>
      <c r="J135" s="74"/>
      <c r="K135" s="75">
        <f>'[3]dod4'!$E$13</f>
        <v>64687038</v>
      </c>
      <c r="L135" s="74"/>
      <c r="M135" s="74"/>
      <c r="N135" s="74"/>
      <c r="O135" s="74"/>
      <c r="P135" s="74"/>
      <c r="Q135" s="6">
        <f>F135+K135</f>
        <v>0</v>
      </c>
      <c r="R135" s="75"/>
      <c r="S135" s="75"/>
      <c r="T135" s="75"/>
    </row>
    <row r="136" spans="5:20" ht="12.75">
      <c r="E136" s="73" t="s">
        <v>277</v>
      </c>
      <c r="F136" s="74">
        <f>F129</f>
        <v>6070811772</v>
      </c>
      <c r="G136" s="74"/>
      <c r="H136" s="74"/>
      <c r="I136" s="74"/>
      <c r="J136" s="74"/>
      <c r="K136" s="75">
        <f>K129</f>
        <v>222603572</v>
      </c>
      <c r="L136" s="74"/>
      <c r="M136" s="74"/>
      <c r="N136" s="74"/>
      <c r="O136" s="74"/>
      <c r="P136" s="74"/>
      <c r="Q136" s="6">
        <f>F136+K136</f>
        <v>6293415344</v>
      </c>
      <c r="R136" s="74"/>
      <c r="S136" s="74"/>
      <c r="T136" s="74"/>
    </row>
    <row r="137" spans="5:17" ht="12.75">
      <c r="E137" s="73" t="s">
        <v>276</v>
      </c>
      <c r="F137" s="74">
        <f>(F132+F133)-F134+F135-F136</f>
        <v>0</v>
      </c>
      <c r="G137" s="74">
        <f aca="true" t="shared" si="27" ref="G137:Q137">(G132+G133)-G134+G135-G136</f>
        <v>0</v>
      </c>
      <c r="H137" s="74">
        <f t="shared" si="27"/>
        <v>0</v>
      </c>
      <c r="I137" s="74">
        <f t="shared" si="27"/>
        <v>0</v>
      </c>
      <c r="J137" s="74">
        <f t="shared" si="27"/>
        <v>0</v>
      </c>
      <c r="K137" s="74">
        <f t="shared" si="27"/>
        <v>0</v>
      </c>
      <c r="L137" s="74">
        <f t="shared" si="27"/>
        <v>0</v>
      </c>
      <c r="M137" s="74">
        <f t="shared" si="27"/>
        <v>0</v>
      </c>
      <c r="N137" s="74">
        <f t="shared" si="27"/>
        <v>0</v>
      </c>
      <c r="O137" s="74">
        <f t="shared" si="27"/>
        <v>0</v>
      </c>
      <c r="P137" s="74">
        <f t="shared" si="27"/>
        <v>0</v>
      </c>
      <c r="Q137" s="2">
        <f t="shared" si="27"/>
        <v>0</v>
      </c>
    </row>
  </sheetData>
  <sheetProtection/>
  <mergeCells count="26">
    <mergeCell ref="P11:P12"/>
    <mergeCell ref="H10:I10"/>
    <mergeCell ref="K10:K12"/>
    <mergeCell ref="O2:Q2"/>
    <mergeCell ref="O3:Q3"/>
    <mergeCell ref="O4:Q4"/>
    <mergeCell ref="O5:Q5"/>
    <mergeCell ref="L10:L12"/>
    <mergeCell ref="M10:N10"/>
    <mergeCell ref="I11:I12"/>
    <mergeCell ref="M11:M12"/>
    <mergeCell ref="N11:N12"/>
    <mergeCell ref="A7:Q7"/>
    <mergeCell ref="A9:A12"/>
    <mergeCell ref="B9:B12"/>
    <mergeCell ref="F9:I9"/>
    <mergeCell ref="K9:P9"/>
    <mergeCell ref="O10:O12"/>
    <mergeCell ref="H11:H12"/>
    <mergeCell ref="Q9:Q12"/>
    <mergeCell ref="E9:E11"/>
    <mergeCell ref="C9:C12"/>
    <mergeCell ref="G10:G12"/>
    <mergeCell ref="J10:J12"/>
    <mergeCell ref="D9:D12"/>
    <mergeCell ref="F10:F12"/>
  </mergeCells>
  <printOptions/>
  <pageMargins left="0.27" right="0.12" top="0.45" bottom="0.29" header="0.5" footer="0.18"/>
  <pageSetup fitToHeight="12" horizontalDpi="600" verticalDpi="600" orientation="landscape" paperSize="9" scale="65" r:id="rId1"/>
  <headerFooter alignWithMargins="0">
    <oddFooter>&amp;R&amp;P</oddFooter>
  </headerFooter>
  <rowBreaks count="1" manualBreakCount="1">
    <brk id="1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Ричина Наталія Михайлівна</dc:creator>
  <cp:keywords/>
  <dc:description/>
  <cp:lastModifiedBy>Іванова</cp:lastModifiedBy>
  <cp:lastPrinted>2016-12-28T08:27:07Z</cp:lastPrinted>
  <dcterms:created xsi:type="dcterms:W3CDTF">2010-12-22T14:43:06Z</dcterms:created>
  <dcterms:modified xsi:type="dcterms:W3CDTF">2016-12-28T15:10:33Z</dcterms:modified>
  <cp:category/>
  <cp:version/>
  <cp:contentType/>
  <cp:contentStatus/>
</cp:coreProperties>
</file>