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tabRatio="945" activeTab="0"/>
  </bookViews>
  <sheets>
    <sheet name="дод 3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'дод 3'!$B$14:$B$136</definedName>
    <definedName name="Z_262A3912_DD70_4B2A_8782_11241825DD41_.wvu.FilterData" localSheetId="0" hidden="1">'дод 3'!#REF!</definedName>
    <definedName name="Z_262A3912_DD70_4B2A_8782_11241825DD41_.wvu.PrintArea" localSheetId="0" hidden="1">'дод 3'!$B$1:$P$136</definedName>
    <definedName name="Z_262A3912_DD70_4B2A_8782_11241825DD41_.wvu.PrintTitles" localSheetId="0" hidden="1">'дод 3'!$9:$13</definedName>
    <definedName name="Z_55DE217F_7BCE_4030_A378_BBDB19AA32BC_.wvu.FilterData" localSheetId="0" hidden="1">'дод 3'!#REF!</definedName>
    <definedName name="Z_55DE217F_7BCE_4030_A378_BBDB19AA32BC_.wvu.PrintArea" localSheetId="0" hidden="1">'дод 3'!$B$1:$P$136</definedName>
    <definedName name="Z_55DE217F_7BCE_4030_A378_BBDB19AA32BC_.wvu.PrintTitles" localSheetId="0" hidden="1">'дод 3'!$9:$13</definedName>
    <definedName name="Z_8C514651_C019_48EB_BC9A_5CF7A7C062C3_.wvu.FilterData" localSheetId="0" hidden="1">'дод 3'!#REF!</definedName>
    <definedName name="Z_8C514651_C019_48EB_BC9A_5CF7A7C062C3_.wvu.PrintArea" localSheetId="0" hidden="1">'дод 3'!$B$1:$P$136</definedName>
    <definedName name="Z_8C514651_C019_48EB_BC9A_5CF7A7C062C3_.wvu.PrintTitles" localSheetId="0" hidden="1">'дод 3'!$9:$13</definedName>
    <definedName name="Z_A2EE22D5_0D01_4651_974A_DBB0B47E334C_.wvu.FilterData" localSheetId="0" hidden="1">'дод 3'!#REF!</definedName>
    <definedName name="Z_A2EE22D5_0D01_4651_974A_DBB0B47E334C_.wvu.PrintArea" localSheetId="0" hidden="1">'дод 3'!$B$1:$P$136</definedName>
    <definedName name="Z_A2EE22D5_0D01_4651_974A_DBB0B47E334C_.wvu.PrintTitles" localSheetId="0" hidden="1">'дод 3'!$9:$13</definedName>
    <definedName name="Z_B9ABD3DA_D8E6_4359_B122_CA96965080C7_.wvu.FilterData" localSheetId="0" hidden="1">'дод 3'!#REF!</definedName>
    <definedName name="Z_B9ABD3DA_D8E6_4359_B122_CA96965080C7_.wvu.PrintArea" localSheetId="0" hidden="1">'дод 3'!$B$1:$P$136</definedName>
    <definedName name="Z_B9ABD3DA_D8E6_4359_B122_CA96965080C7_.wvu.PrintTitles" localSheetId="0" hidden="1">'дод 3'!$9:$13</definedName>
    <definedName name="Z_CEC3A13C_C991_47CB_8169_8518E6DF0FD0_.wvu.FilterData" localSheetId="0" hidden="1">'дод 3'!#REF!</definedName>
    <definedName name="Z_CEC3A13C_C991_47CB_8169_8518E6DF0FD0_.wvu.PrintArea" localSheetId="0" hidden="1">'дод 3'!$B$1:$P$136</definedName>
    <definedName name="Z_CEC3A13C_C991_47CB_8169_8518E6DF0FD0_.wvu.PrintTitles" localSheetId="0" hidden="1">'дод 3'!$9:$13</definedName>
    <definedName name="Z_D73D0E9B_2717_48D0_8E2C_FF64265ACAB1_.wvu.FilterData" localSheetId="0" hidden="1">'дод 3'!#REF!</definedName>
    <definedName name="Z_D73D0E9B_2717_48D0_8E2C_FF64265ACAB1_.wvu.PrintArea" localSheetId="0" hidden="1">'дод 3'!$B$1:$P$136</definedName>
    <definedName name="Z_D73D0E9B_2717_48D0_8E2C_FF64265ACAB1_.wvu.PrintTitles" localSheetId="0" hidden="1">'дод 3'!$9:$13</definedName>
    <definedName name="Z_EBAA2E10_33D1_4ABA_B856_04E6905A93CB_.wvu.FilterData" localSheetId="0" hidden="1">'дод 3'!#REF!</definedName>
    <definedName name="Z_EBAA2E10_33D1_4ABA_B856_04E6905A93CB_.wvu.PrintArea" localSheetId="0" hidden="1">'дод 3'!$B$1:$P$136</definedName>
    <definedName name="Z_EBAA2E10_33D1_4ABA_B856_04E6905A93CB_.wvu.PrintTitles" localSheetId="0" hidden="1">'дод 3'!$9:$13</definedName>
    <definedName name="_xlnm.Print_Titles" localSheetId="0">'дод 3'!$9:$13</definedName>
    <definedName name="_xlnm.Print_Area" localSheetId="0">'дод 3'!$A$2:$P$136</definedName>
  </definedNames>
  <calcPr fullCalcOnLoad="1"/>
</workbook>
</file>

<file path=xl/sharedStrings.xml><?xml version="1.0" encoding="utf-8"?>
<sst xmlns="http://schemas.openxmlformats.org/spreadsheetml/2006/main" count="398" uniqueCount="327">
  <si>
    <t>Всього</t>
  </si>
  <si>
    <t>з них</t>
  </si>
  <si>
    <t>оплата праці</t>
  </si>
  <si>
    <t>комунальні послуги та енергоносії</t>
  </si>
  <si>
    <t>бюджет розвитку</t>
  </si>
  <si>
    <t>Разом</t>
  </si>
  <si>
    <t>0100000</t>
  </si>
  <si>
    <t>0110000</t>
  </si>
  <si>
    <t xml:space="preserve">до рішення обласної ради </t>
  </si>
  <si>
    <t>Багатопрофільна стаціонарна медична допомога населенню</t>
  </si>
  <si>
    <t>Спеціалізована стаціонарна медична допомога населенню</t>
  </si>
  <si>
    <t>Створення банків крові та її компонентів</t>
  </si>
  <si>
    <t>Утримання закладів, що надають соціальні послуги дітям, які опинились в складних життєвих обставинах</t>
  </si>
  <si>
    <t>Загальнообласні видатки</t>
  </si>
  <si>
    <t>0800000</t>
  </si>
  <si>
    <t>0810000</t>
  </si>
  <si>
    <t>Проведення навчально-тренувальних зборів і змагань з неолімпійських видів спорту</t>
  </si>
  <si>
    <t xml:space="preserve">Всього видатків </t>
  </si>
  <si>
    <t>Заходи державної політики з питань дітей та їх соціального захисту</t>
  </si>
  <si>
    <t>Утримання закладів, що надають соціальні послуги дітям, які опинились у складних життєвих обставинах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</si>
  <si>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</si>
  <si>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Код програмної класифікації видатків та кредитування місцевих бюджетів (КПКВК)</t>
  </si>
  <si>
    <t>видатки споживання</t>
  </si>
  <si>
    <t>видатки розвитку</t>
  </si>
  <si>
    <t>Код типової програмно класифікації видатків та кредитування місцевих бюджетів (КТПКВК)</t>
  </si>
  <si>
    <t>Код функціональної класифікації видатків та кредитування бюджету (КФКВКБ)</t>
  </si>
  <si>
    <t>16=5+10</t>
  </si>
  <si>
    <t>0540</t>
  </si>
  <si>
    <t>1040</t>
  </si>
  <si>
    <t>Надання загальної середньої освіти загальноосвiтнiми школами-iнтернатами, загальноосвітніми санаторними школами-інтернатами</t>
  </si>
  <si>
    <t>0922</t>
  </si>
  <si>
    <t>1060</t>
  </si>
  <si>
    <t>0910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</si>
  <si>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</si>
  <si>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 </t>
  </si>
  <si>
    <t>1080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</si>
  <si>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</si>
  <si>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</si>
  <si>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</si>
  <si>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0930</t>
  </si>
  <si>
    <t>1130</t>
  </si>
  <si>
    <t>0942</t>
  </si>
  <si>
    <t>1140</t>
  </si>
  <si>
    <t>0950</t>
  </si>
  <si>
    <t>0990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</si>
  <si>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</si>
  <si>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5011</t>
  </si>
  <si>
    <t>0810</t>
  </si>
  <si>
    <t>5022</t>
  </si>
  <si>
    <r>
      <t xml:space="preserve">Департамент освіти і науки ОДА </t>
    </r>
    <r>
      <rPr>
        <sz val="10"/>
        <rFont val="Times New Roman"/>
        <family val="1"/>
      </rPr>
      <t>(головний розпорядник)</t>
    </r>
  </si>
  <si>
    <r>
      <t xml:space="preserve">Департамент освіти і науки ОДА </t>
    </r>
    <r>
      <rPr>
        <sz val="10"/>
        <rFont val="Times New Roman"/>
        <family val="1"/>
      </rPr>
      <t xml:space="preserve">(відповідальний виконавець) </t>
    </r>
  </si>
  <si>
    <t>0111</t>
  </si>
  <si>
    <t xml:space="preserve">Організаційне, інформаційно-аналітичне та матеріально-технічне забезпечення діяльності обласної  ради </t>
  </si>
  <si>
    <r>
      <t xml:space="preserve">Управління інформаційної діяльності та комунікацій з громадськістю ОДА </t>
    </r>
    <r>
      <rPr>
        <sz val="10"/>
        <rFont val="Times New Roman"/>
        <family val="1"/>
      </rPr>
      <t>(головний розпорядник)</t>
    </r>
  </si>
  <si>
    <r>
      <t xml:space="preserve">Управління інформаційної діяльності та комунікацій з громадськістю ОДА </t>
    </r>
    <r>
      <rPr>
        <sz val="10"/>
        <rFont val="Times New Roman"/>
        <family val="1"/>
      </rPr>
      <t xml:space="preserve">(відповідальний виконавець) </t>
    </r>
  </si>
  <si>
    <r>
      <t xml:space="preserve">Департамент  охорони здоров’я ОДА </t>
    </r>
    <r>
      <rPr>
        <sz val="10"/>
        <rFont val="Times New Roman"/>
        <family val="1"/>
      </rPr>
      <t xml:space="preserve">(відповідальний виконавець) </t>
    </r>
  </si>
  <si>
    <r>
      <t xml:space="preserve">Департамент  соціального захисту населення ОДА </t>
    </r>
    <r>
      <rPr>
        <sz val="10"/>
        <rFont val="Times New Roman"/>
        <family val="1"/>
      </rPr>
      <t xml:space="preserve">(відповідальний виконавець)  </t>
    </r>
  </si>
  <si>
    <r>
      <t xml:space="preserve">Служба у справах дітей ОДА </t>
    </r>
    <r>
      <rPr>
        <sz val="10"/>
        <rFont val="Times New Roman"/>
        <family val="1"/>
      </rPr>
      <t xml:space="preserve">(відповідальний виконавець) </t>
    </r>
  </si>
  <si>
    <r>
      <t xml:space="preserve">Департамент  охорони здоров’я ОДА </t>
    </r>
    <r>
      <rPr>
        <sz val="10"/>
        <rFont val="Times New Roman"/>
        <family val="1"/>
      </rPr>
      <t>(головний розпорядник)</t>
    </r>
  </si>
  <si>
    <r>
      <t xml:space="preserve">Департамент  соціального захисту населення ОДА </t>
    </r>
    <r>
      <rPr>
        <sz val="10"/>
        <rFont val="Times New Roman"/>
        <family val="1"/>
      </rPr>
      <t xml:space="preserve">(головний розпорядник) </t>
    </r>
  </si>
  <si>
    <r>
      <t>Служба у справах дітей ОДА</t>
    </r>
    <r>
      <rPr>
        <sz val="10"/>
        <rFont val="Times New Roman"/>
        <family val="1"/>
      </rPr>
      <t xml:space="preserve"> (головний розпорядник)</t>
    </r>
  </si>
  <si>
    <t>0133</t>
  </si>
  <si>
    <t>0180</t>
  </si>
  <si>
    <t>1120</t>
  </si>
  <si>
    <t>0941</t>
  </si>
  <si>
    <t>2010</t>
  </si>
  <si>
    <t>0731</t>
  </si>
  <si>
    <t>0732</t>
  </si>
  <si>
    <t>2060</t>
  </si>
  <si>
    <t>0734</t>
  </si>
  <si>
    <t>2070</t>
  </si>
  <si>
    <t>2090</t>
  </si>
  <si>
    <t>0761</t>
  </si>
  <si>
    <t>2100</t>
  </si>
  <si>
    <t>0762</t>
  </si>
  <si>
    <t>0724</t>
  </si>
  <si>
    <t>2130</t>
  </si>
  <si>
    <t>0722</t>
  </si>
  <si>
    <t>0740</t>
  </si>
  <si>
    <t>0763</t>
  </si>
  <si>
    <t>0824</t>
  </si>
  <si>
    <t>Медико-соціальний захист дітей-сиріт і дітей, позбавлених батьківського піклування</t>
  </si>
  <si>
    <r>
      <t xml:space="preserve">Управління культури, національностей, релігій та туризму ОДА </t>
    </r>
    <r>
      <rPr>
        <sz val="10"/>
        <rFont val="Times New Roman"/>
        <family val="1"/>
      </rPr>
      <t xml:space="preserve"> (головний розпорядник)</t>
    </r>
  </si>
  <si>
    <r>
      <t xml:space="preserve">Управління культури, національностей, релігій та туризму ОДА  </t>
    </r>
    <r>
      <rPr>
        <sz val="10"/>
        <rFont val="Times New Roman"/>
        <family val="1"/>
      </rPr>
      <t>(відповідальний виконавець)</t>
    </r>
  </si>
  <si>
    <t>4020</t>
  </si>
  <si>
    <t>0821</t>
  </si>
  <si>
    <t>0822</t>
  </si>
  <si>
    <t>4080</t>
  </si>
  <si>
    <t>0827</t>
  </si>
  <si>
    <t>0829</t>
  </si>
  <si>
    <t>1010</t>
  </si>
  <si>
    <t>1020</t>
  </si>
  <si>
    <t>1030</t>
  </si>
  <si>
    <t>3111</t>
  </si>
  <si>
    <t>3131</t>
  </si>
  <si>
    <t>3140</t>
  </si>
  <si>
    <t>3112</t>
  </si>
  <si>
    <t>5012</t>
  </si>
  <si>
    <t>5021</t>
  </si>
  <si>
    <t>5060</t>
  </si>
  <si>
    <t>5033</t>
  </si>
  <si>
    <r>
      <t xml:space="preserve">Управління молоді та спорту ОДА </t>
    </r>
    <r>
      <rPr>
        <sz val="10"/>
        <rFont val="Times New Roman"/>
        <family val="1"/>
      </rPr>
      <t>(головний розпорядник)</t>
    </r>
  </si>
  <si>
    <r>
      <t xml:space="preserve">Управління молоді та спорту ОДА </t>
    </r>
    <r>
      <rPr>
        <sz val="10"/>
        <rFont val="Times New Roman"/>
        <family val="1"/>
      </rPr>
      <t xml:space="preserve">(відповідальний виконавець) </t>
    </r>
  </si>
  <si>
    <t>Загальний фонд</t>
  </si>
  <si>
    <t>Спеціальний фонд</t>
  </si>
  <si>
    <t>грн.</t>
  </si>
  <si>
    <t>Найменування головного розпорядника</t>
  </si>
  <si>
    <t xml:space="preserve"> відповідального виконавця, бюджетної програми або напрямку видатків згідно з типовою відомчою (ТПКВКМБ)</t>
  </si>
  <si>
    <t>5010</t>
  </si>
  <si>
    <t>5020</t>
  </si>
  <si>
    <t>Проведення спортивної роботи в регіоні</t>
  </si>
  <si>
    <t>3100</t>
  </si>
  <si>
    <t>Соціальний захист ветеранів війни та праці</t>
  </si>
  <si>
    <t>3110</t>
  </si>
  <si>
    <t>Заклади і заходи з питань дітей та їх соціального захисту</t>
  </si>
  <si>
    <t>3130</t>
  </si>
  <si>
    <t>Здійснення соціальної роботи з вразливими категоріями населення</t>
  </si>
  <si>
    <t xml:space="preserve">Резервний фонд </t>
  </si>
  <si>
    <r>
      <t xml:space="preserve">Хмельницька обласна рада (апарат обласної ради) </t>
    </r>
    <r>
      <rPr>
        <sz val="10"/>
        <rFont val="Times New Roman"/>
        <family val="1"/>
      </rPr>
      <t>(головний розпорядник)</t>
    </r>
  </si>
  <si>
    <r>
      <t xml:space="preserve">Хмельницька обласна рада (апарат обласної ради)  </t>
    </r>
    <r>
      <rPr>
        <sz val="10"/>
        <rFont val="Times New Roman"/>
        <family val="1"/>
      </rPr>
      <t xml:space="preserve">(відповідальний виконавець) </t>
    </r>
  </si>
  <si>
    <r>
      <t>Департамент фінансів ОДА</t>
    </r>
    <r>
      <rPr>
        <sz val="10"/>
        <rFont val="Times New Roman"/>
        <family val="1"/>
      </rPr>
      <t xml:space="preserve"> (в частині міжбюджетних трансфертів, резервного фонду)(головний розпорядник)</t>
    </r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</si>
  <si>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</si>
  <si>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</si>
  <si>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5031</t>
  </si>
  <si>
    <t>Розвиток дитячо-юнацького та резервного спорту</t>
  </si>
  <si>
    <t>5030</t>
  </si>
  <si>
    <t>Фінансова підтримка дитячо-юнацьких спортивних шкіл фізкультурно-спортивних товариств</t>
  </si>
  <si>
    <t>5032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</si>
  <si>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</si>
  <si>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</si>
  <si>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</si>
  <si>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</si>
  <si>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5061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</si>
  <si>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</si>
  <si>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</si>
  <si>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Реалізація державної політики у молодіжній сфері</t>
  </si>
  <si>
    <t>5050</t>
  </si>
  <si>
    <t>Підтримка фізкультурно-спортивного руху</t>
  </si>
  <si>
    <r>
      <t xml:space="preserve">Департамент фінансів ОДА </t>
    </r>
    <r>
      <rPr>
        <sz val="10"/>
        <rFont val="Times New Roman"/>
        <family val="1"/>
      </rPr>
      <t>(відповідальний виконавець)</t>
    </r>
  </si>
  <si>
    <t>0456</t>
  </si>
  <si>
    <t>Доходи</t>
  </si>
  <si>
    <t>Вільні лишки на 1.01.2016</t>
  </si>
  <si>
    <t>Кредитування</t>
  </si>
  <si>
    <t>Передача до бюджету розвитку</t>
  </si>
  <si>
    <t>Всього видатків</t>
  </si>
  <si>
    <t>Баланс</t>
  </si>
  <si>
    <t xml:space="preserve">Додаток 3
</t>
  </si>
  <si>
    <t>від ___ грудня 2017 року №</t>
  </si>
  <si>
    <t>1110</t>
  </si>
  <si>
    <t>Підготовка кадрів професійно-технічними закладами та іншими закладами освіти</t>
  </si>
  <si>
    <t>Підготовка кадрів вищими навчальними закладами І-ІІ рівнів акредитації (коледжами, технікумами, училищами)</t>
  </si>
  <si>
    <t>1160</t>
  </si>
  <si>
    <t>Інші програми, заклади та заходи у сфері освіти</t>
  </si>
  <si>
    <t>Надання загальної середньої освіти  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</si>
  <si>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Підготовка кадрів вищими навчальними закладами ІІІ-ІV рівнів акредитації (університетами, академіями, інститутами)</t>
  </si>
  <si>
    <t>Підвищення кваліфікації, перепідготовка кадрів закладами післядипломної освіти</t>
  </si>
  <si>
    <t>0600000</t>
  </si>
  <si>
    <t>0611040</t>
  </si>
  <si>
    <t>0611060</t>
  </si>
  <si>
    <t>0611070</t>
  </si>
  <si>
    <t>0611080</t>
  </si>
  <si>
    <t>0611090</t>
  </si>
  <si>
    <t>0611110</t>
  </si>
  <si>
    <t>0611120</t>
  </si>
  <si>
    <t>0611130</t>
  </si>
  <si>
    <t>0611140</t>
  </si>
  <si>
    <t>0611160</t>
  </si>
  <si>
    <t>0613140</t>
  </si>
  <si>
    <t>0615010</t>
  </si>
  <si>
    <t>0615011</t>
  </si>
  <si>
    <t>0615012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</si>
  <si>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</si>
  <si>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</si>
  <si>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9210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</si>
  <si>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</si>
  <si>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9220</t>
  </si>
  <si>
    <t>9230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</si>
  <si>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</si>
  <si>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9250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</si>
  <si>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</si>
  <si>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9260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</si>
  <si>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</si>
  <si>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9270</t>
  </si>
  <si>
    <t>9130</t>
  </si>
  <si>
    <t>8700</t>
  </si>
  <si>
    <t>0150</t>
  </si>
  <si>
    <t>0110150</t>
  </si>
  <si>
    <t xml:space="preserve">Інші субвенції з місцевого бюджету </t>
  </si>
  <si>
    <t>9770</t>
  </si>
  <si>
    <t>Забезпечення діяльності інших закладів у сфері освіти</t>
  </si>
  <si>
    <t>0611161</t>
  </si>
  <si>
    <t>Фінансова підтримка театрів </t>
  </si>
  <si>
    <t>4010</t>
  </si>
  <si>
    <t>Фінансова підтримка фiлармонiй, художніх і музичних колективів, ансамблів, концертних та циркових організацій</t>
  </si>
  <si>
    <t>Забезпечення діяльності бібліотек</t>
  </si>
  <si>
    <t>Забезпечення діяльності музеїв i виставок</t>
  </si>
  <si>
    <t>1000000</t>
  </si>
  <si>
    <t>1010000</t>
  </si>
  <si>
    <t>Забезпечення діяльності заповідників</t>
  </si>
  <si>
    <t>4050</t>
  </si>
  <si>
    <t>Інші заклади та заходи в галузі культури і мистецтва</t>
  </si>
  <si>
    <t xml:space="preserve">Забезпечення діяльності інших закладів в галузі культури і мистецтва </t>
  </si>
  <si>
    <t>4081</t>
  </si>
  <si>
    <t>Інші заходи в галузі культури і мистецтва</t>
  </si>
  <si>
    <t>4082</t>
  </si>
  <si>
    <t xml:space="preserve">Підготовка кадрів вищими навчальними закладами І-ІІ рівнів акредитації (коледжами, технікумами, училищами) </t>
  </si>
  <si>
    <t>8340</t>
  </si>
  <si>
    <t>Природоохоронні заходи за рахунок цільових фондів (Обласний фонд охорони навколишнього природного середовища)</t>
  </si>
  <si>
    <t>0718340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</si>
  <si>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</si>
  <si>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субвенції з  державного бюджету</t>
  </si>
  <si>
    <r>
      <t xml:space="preserve">Управління регіонального розвитку та будівництва ОДА </t>
    </r>
    <r>
      <rPr>
        <i/>
        <sz val="10"/>
        <rFont val="Times New Roman"/>
        <family val="1"/>
      </rPr>
      <t>(головний розпорядник)</t>
    </r>
  </si>
  <si>
    <r>
      <t xml:space="preserve">Управління регіонального розвитку та будівництва ОДА </t>
    </r>
    <r>
      <rPr>
        <i/>
        <sz val="10"/>
        <rFont val="Times New Roman"/>
        <family val="1"/>
      </rPr>
      <t>(відповідальний виконавець)</t>
    </r>
  </si>
  <si>
    <t>3719130</t>
  </si>
  <si>
    <t>3719230</t>
  </si>
  <si>
    <t>3719210</t>
  </si>
  <si>
    <t>3719220</t>
  </si>
  <si>
    <t>3719250</t>
  </si>
  <si>
    <t>3719770</t>
  </si>
  <si>
    <t>3710000</t>
  </si>
  <si>
    <t>3718700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</si>
  <si>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</si>
  <si>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</si>
  <si>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3190</t>
  </si>
  <si>
    <t>3192</t>
  </si>
  <si>
    <t xml:space="preserve">Забезпечення обробки інформації з нарахування та виплати допомог і компенсацій </t>
  </si>
  <si>
    <t>Інші заклади та заходи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</si>
  <si>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</si>
  <si>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</si>
  <si>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0813100</t>
  </si>
  <si>
    <t>0813101</t>
  </si>
  <si>
    <t>0813102</t>
  </si>
  <si>
    <t>0813190</t>
  </si>
  <si>
    <t>0813192</t>
  </si>
  <si>
    <t>3241</t>
  </si>
  <si>
    <t>0813241</t>
  </si>
  <si>
    <t>3242</t>
  </si>
  <si>
    <t>0813242</t>
  </si>
  <si>
    <t>0813240</t>
  </si>
  <si>
    <t>0900000</t>
  </si>
  <si>
    <t>0910000</t>
  </si>
  <si>
    <t>0913110</t>
  </si>
  <si>
    <t>0913111</t>
  </si>
  <si>
    <t>0913112</t>
  </si>
  <si>
    <t>0700000</t>
  </si>
  <si>
    <t>0710000</t>
  </si>
  <si>
    <t>0711120</t>
  </si>
  <si>
    <t>0712010</t>
  </si>
  <si>
    <t>0712060</t>
  </si>
  <si>
    <t>0712070</t>
  </si>
  <si>
    <t>0712090</t>
  </si>
  <si>
    <t>0712100</t>
  </si>
  <si>
    <t>0712130</t>
  </si>
  <si>
    <t>0712020</t>
  </si>
  <si>
    <t>2020</t>
  </si>
  <si>
    <t>Санаторно-курортна допомога населенню</t>
  </si>
  <si>
    <t>0712040</t>
  </si>
  <si>
    <t>2040</t>
  </si>
  <si>
    <t>0712050</t>
  </si>
  <si>
    <t>2050</t>
  </si>
  <si>
    <t>Екстрена та швидка медична допомога населенню</t>
  </si>
  <si>
    <t>Спеціалізована амбулаторно-поліклінічна допомога населенню</t>
  </si>
  <si>
    <t>Стоматологічна допомога населенню</t>
  </si>
  <si>
    <t>Інформаційно-методичне та просвітницьке забезпечення в галузі охорони здоров'я</t>
  </si>
  <si>
    <t>0712120</t>
  </si>
  <si>
    <t>2120</t>
  </si>
  <si>
    <t>Проведення належної медико-соціальної експертизи (МСЕК)</t>
  </si>
  <si>
    <t>Інші програми, заклади та заходи у сфері охорони здоров’я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</si>
  <si>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</si>
  <si>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</si>
  <si>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2151</t>
  </si>
  <si>
    <t>0712151</t>
  </si>
  <si>
    <t>2152</t>
  </si>
  <si>
    <t>0712152</t>
  </si>
  <si>
    <t>0712150</t>
  </si>
  <si>
    <t>4030</t>
  </si>
  <si>
    <t>0714030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</si>
  <si>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</si>
  <si>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3719460</t>
  </si>
  <si>
    <t>9460</t>
  </si>
  <si>
    <t>3719410</t>
  </si>
  <si>
    <t>9410</t>
  </si>
  <si>
    <t>Субвенція з місцевого бюджету на здійснення переданих видатків у сфері охорони здоров’я за рахунок коштів медичної субвенції (цільові видатки на лікування хворих на цукровий та нецукровий діабет)</t>
  </si>
  <si>
    <t>Утримання та забезпечення діяльності центрів соціальних служб для сім’ї, дітей та молоді</t>
  </si>
  <si>
    <t>3240</t>
  </si>
  <si>
    <t>Забезпечення підготовки спортсменів школами вищої спортивної майстерності</t>
  </si>
  <si>
    <t>Інші заходи у сфері засобів масової інформації</t>
  </si>
  <si>
    <t>8420</t>
  </si>
  <si>
    <t>0113240</t>
  </si>
  <si>
    <t>0113242</t>
  </si>
  <si>
    <t>0110180</t>
  </si>
  <si>
    <t>Інша діяльність у сфері державного управління</t>
  </si>
  <si>
    <t>2300000</t>
  </si>
  <si>
    <t>2310000</t>
  </si>
  <si>
    <t>2318420</t>
  </si>
  <si>
    <t>0830</t>
  </si>
  <si>
    <t>0813200</t>
  </si>
  <si>
    <t>3200</t>
  </si>
  <si>
    <t>"Про обласний бюджет на 2018рік"</t>
  </si>
  <si>
    <t xml:space="preserve">Розподіл видатків обласного бюджету на 2018 рік </t>
  </si>
  <si>
    <t>0610000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</si>
  <si>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</si>
  <si>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4040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</si>
  <si>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</si>
  <si>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3719200</t>
  </si>
  <si>
    <t>9200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</si>
  <si>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</si>
  <si>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3719400</t>
  </si>
  <si>
    <t>9400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</si>
  <si>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</si>
  <si>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3719700</t>
  </si>
  <si>
    <t>9700</t>
  </si>
  <si>
    <t>Здійснення заходів та реалізація проектів на виконання Державної цільової соціальної програми "Молодь України"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</si>
  <si>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</si>
  <si>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</si>
  <si>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Утримання центрів фізичної культури і спорту осіб з інвалідністю і реабілітаційних шкіл</t>
  </si>
  <si>
    <t>Проведення навчально-тренувальних зборів і змагань та заходів зі спорту осіб з інвалідністю 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</si>
  <si>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</si>
  <si>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Утримання та розвиток автомобільних доріг та дорожньої інфраструктури за рахунок коштів місцевого бюджету</t>
  </si>
  <si>
    <t>Інші програми та заходи, пов'язані з економічною діяльністю</t>
  </si>
  <si>
    <t>0117680</t>
  </si>
  <si>
    <t>0117600</t>
  </si>
  <si>
    <t>7680</t>
  </si>
  <si>
    <t>0490</t>
  </si>
  <si>
    <t>Членські внески до асоціацій органів місцевого самоврядування</t>
  </si>
  <si>
    <t>Дотації з місцевого бюджету іншим бюджетам</t>
  </si>
  <si>
    <t>Міжбюджетні трансферти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</si>
</sst>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00000"/>
    <numFmt numFmtId="187" formatCode="#,##0.00000"/>
    <numFmt numFmtId="188" formatCode="#,##0.0000"/>
    <numFmt numFmtId="189" formatCode="#,##0.000"/>
    <numFmt numFmtId="190" formatCode="#,##0.0;[Red]#,##0.0"/>
  </numFmts>
  <fonts count="42">
    <font>
      <sz val="10"/>
      <color indexed="8"/>
      <name val="MS Sans Serif"/>
      <family val="0"/>
    </font>
    <font>
      <b/>
      <sz val="8.05"/>
      <color indexed="8"/>
      <name val="Times New Roman"/>
      <family val="0"/>
    </font>
    <font>
      <sz val="8.05"/>
      <color indexed="8"/>
      <name val="Times New Roman"/>
      <family val="0"/>
    </font>
    <font>
      <b/>
      <sz val="14.05"/>
      <color indexed="8"/>
      <name val="Times New Roman"/>
      <family val="0"/>
    </font>
    <font>
      <sz val="10"/>
      <color indexed="8"/>
      <name val="Times New Roman"/>
      <family val="1"/>
    </font>
    <font>
      <u val="single"/>
      <sz val="11.5"/>
      <color indexed="12"/>
      <name val="MS Sans Serif"/>
      <family val="2"/>
    </font>
    <font>
      <u val="single"/>
      <sz val="11.5"/>
      <color indexed="36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0"/>
      <color indexed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name val="Helv"/>
      <family val="0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3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43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185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78" fontId="4" fillId="0" borderId="0" xfId="43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185" fontId="8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85" fontId="7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10" xfId="42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 applyProtection="1">
      <alignment horizontal="right" vertical="center"/>
      <protection/>
    </xf>
    <xf numFmtId="3" fontId="7" fillId="0" borderId="0" xfId="0" applyNumberFormat="1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85" fontId="28" fillId="0" borderId="10" xfId="0" applyNumberFormat="1" applyFont="1" applyFill="1" applyBorder="1" applyAlignment="1">
      <alignment horizontal="left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/>
    </xf>
    <xf numFmtId="3" fontId="28" fillId="0" borderId="10" xfId="0" applyNumberFormat="1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vertical="center" wrapText="1"/>
    </xf>
    <xf numFmtId="3" fontId="31" fillId="0" borderId="0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vertical="center"/>
      <protection/>
    </xf>
    <xf numFmtId="3" fontId="28" fillId="0" borderId="1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3" fontId="28" fillId="0" borderId="0" xfId="0" applyNumberFormat="1" applyFont="1" applyFill="1" applyBorder="1" applyAlignment="1" applyProtection="1">
      <alignment vertical="center"/>
      <protection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3" fontId="35" fillId="0" borderId="0" xfId="0" applyNumberFormat="1" applyFont="1" applyFill="1" applyBorder="1" applyAlignment="1">
      <alignment vertical="center" wrapText="1"/>
    </xf>
    <xf numFmtId="3" fontId="25" fillId="0" borderId="0" xfId="0" applyNumberFormat="1" applyFont="1" applyFill="1" applyBorder="1" applyAlignment="1" applyProtection="1">
      <alignment vertical="center"/>
      <protection/>
    </xf>
    <xf numFmtId="3" fontId="35" fillId="0" borderId="0" xfId="0" applyNumberFormat="1" applyFont="1" applyFill="1" applyBorder="1" applyAlignment="1" applyProtection="1">
      <alignment vertical="center"/>
      <protection/>
    </xf>
    <xf numFmtId="0" fontId="36" fillId="0" borderId="0" xfId="0" applyNumberFormat="1" applyFont="1" applyFill="1" applyBorder="1" applyAlignment="1" applyProtection="1">
      <alignment vertical="center"/>
      <protection/>
    </xf>
    <xf numFmtId="0" fontId="35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28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3" fontId="7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0" xfId="0" applyNumberFormat="1" applyFont="1" applyFill="1" applyBorder="1" applyAlignment="1" applyProtection="1">
      <alignment vertical="center"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4" fontId="8" fillId="0" borderId="0" xfId="0" applyNumberFormat="1" applyFont="1" applyFill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 applyProtection="1">
      <alignment horizontal="center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3" fontId="8" fillId="0" borderId="12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2" fontId="8" fillId="0" borderId="13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49" fontId="28" fillId="0" borderId="11" xfId="0" applyNumberFormat="1" applyFont="1" applyFill="1" applyBorder="1" applyAlignment="1">
      <alignment horizontal="center" vertical="center" wrapText="1"/>
    </xf>
    <xf numFmtId="185" fontId="28" fillId="0" borderId="11" xfId="0" applyNumberFormat="1" applyFont="1" applyFill="1" applyBorder="1" applyAlignment="1">
      <alignment horizontal="left" vertical="center" wrapText="1"/>
    </xf>
    <xf numFmtId="0" fontId="7" fillId="15" borderId="14" xfId="0" applyNumberFormat="1" applyFont="1" applyFill="1" applyBorder="1" applyAlignment="1" applyProtection="1">
      <alignment horizontal="center" vertical="center" wrapText="1"/>
      <protection/>
    </xf>
    <xf numFmtId="0" fontId="8" fillId="15" borderId="14" xfId="0" applyNumberFormat="1" applyFont="1" applyFill="1" applyBorder="1" applyAlignment="1" applyProtection="1">
      <alignment horizontal="center" vertical="center" wrapText="1"/>
      <protection/>
    </xf>
    <xf numFmtId="49" fontId="8" fillId="15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8" fillId="15" borderId="10" xfId="0" applyNumberFormat="1" applyFont="1" applyFill="1" applyBorder="1" applyAlignment="1" applyProtection="1">
      <alignment horizontal="center" vertical="center" wrapText="1"/>
      <protection/>
    </xf>
    <xf numFmtId="0" fontId="28" fillId="15" borderId="14" xfId="0" applyNumberFormat="1" applyFont="1" applyFill="1" applyBorder="1" applyAlignment="1" applyProtection="1">
      <alignment horizontal="center" vertical="center" wrapText="1"/>
      <protection/>
    </xf>
    <xf numFmtId="49" fontId="28" fillId="15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41" fillId="0" borderId="15" xfId="0" applyNumberFormat="1" applyFont="1" applyFill="1" applyBorder="1" applyAlignment="1" applyProtection="1">
      <alignment horizontal="right" vertical="center"/>
      <protection/>
    </xf>
    <xf numFmtId="0" fontId="41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left" vertical="center" wrapText="1"/>
    </xf>
    <xf numFmtId="3" fontId="35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/>
    </xf>
    <xf numFmtId="0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vertical="center" wrapText="1"/>
    </xf>
    <xf numFmtId="0" fontId="33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33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33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28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28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28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0" fillId="0" borderId="0" xfId="0" applyNumberFormat="1" applyFont="1" applyFill="1" applyAlignment="1" applyProtection="1">
      <alignment horizontal="center" vertical="top" wrapText="1"/>
      <protection/>
    </xf>
    <xf numFmtId="0" fontId="40" fillId="0" borderId="0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Fill="1" applyBorder="1" applyAlignment="1" applyProtection="1">
      <alignment horizontal="center" vertical="center" wrapText="1"/>
      <protection/>
    </xf>
    <xf numFmtId="178" fontId="40" fillId="0" borderId="0" xfId="43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2" xfId="0" applyNumberFormat="1" applyFont="1" applyFill="1" applyBorder="1" applyAlignment="1" applyProtection="1">
      <alignment horizontal="center" vertical="center" wrapText="1" shrinkToFi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d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d%2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d4 (2)"/>
    </sheetNames>
    <sheetDataSet>
      <sheetData sheetId="0">
        <row r="11">
          <cell r="D11">
            <v>0</v>
          </cell>
          <cell r="E11">
            <v>0</v>
          </cell>
        </row>
        <row r="13">
          <cell r="D13">
            <v>-11538000</v>
          </cell>
          <cell r="E13">
            <v>11538000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.4"/>
    </sheetNames>
    <sheetDataSet>
      <sheetData sheetId="0">
        <row r="24">
          <cell r="N24">
            <v>300000</v>
          </cell>
          <cell r="O2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д 1 07.12"/>
    </sheetNames>
    <sheetDataSet>
      <sheetData sheetId="0">
        <row r="81">
          <cell r="D81">
            <v>7900964600</v>
          </cell>
          <cell r="E81">
            <v>583883284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X146"/>
  <sheetViews>
    <sheetView tabSelected="1" view="pageBreakPreview" zoomScale="75" zoomScaleNormal="75" zoomScaleSheetLayoutView="75" zoomScalePageLayoutView="0" workbookViewId="0" topLeftCell="A1">
      <pane xSplit="4" ySplit="13" topLeftCell="E116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G154" sqref="G154"/>
    </sheetView>
  </sheetViews>
  <sheetFormatPr defaultColWidth="11.421875" defaultRowHeight="12.75"/>
  <cols>
    <col min="1" max="3" width="8.8515625" style="6" customWidth="1"/>
    <col min="4" max="4" width="34.28125" style="6" customWidth="1"/>
    <col min="5" max="5" width="16.28125" style="34" customWidth="1"/>
    <col min="6" max="6" width="15.28125" style="34" customWidth="1"/>
    <col min="7" max="7" width="13.7109375" style="34" customWidth="1"/>
    <col min="8" max="8" width="15.00390625" style="34" customWidth="1"/>
    <col min="9" max="9" width="13.8515625" style="6" customWidth="1"/>
    <col min="10" max="10" width="14.421875" style="34" customWidth="1"/>
    <col min="11" max="11" width="15.421875" style="34" customWidth="1"/>
    <col min="12" max="12" width="14.28125" style="34" customWidth="1"/>
    <col min="13" max="13" width="12.28125" style="34" customWidth="1"/>
    <col min="14" max="14" width="14.8515625" style="34" customWidth="1"/>
    <col min="15" max="15" width="14.28125" style="34" customWidth="1"/>
    <col min="16" max="16" width="16.57421875" style="9" customWidth="1"/>
    <col min="17" max="19" width="13.421875" style="6" hidden="1" customWidth="1"/>
    <col min="20" max="20" width="16.421875" style="1" hidden="1" customWidth="1"/>
    <col min="21" max="21" width="13.421875" style="1" hidden="1" customWidth="1"/>
    <col min="22" max="24" width="0" style="1" hidden="1" customWidth="1"/>
    <col min="25" max="16384" width="11.421875" style="1" customWidth="1"/>
  </cols>
  <sheetData>
    <row r="2" spans="12:19" ht="20.25" customHeight="1">
      <c r="L2" s="136" t="s">
        <v>146</v>
      </c>
      <c r="M2" s="136"/>
      <c r="N2" s="136"/>
      <c r="O2" s="136"/>
      <c r="P2" s="136"/>
      <c r="Q2" s="23"/>
      <c r="R2" s="23"/>
      <c r="S2" s="23"/>
    </row>
    <row r="3" spans="12:19" ht="18">
      <c r="L3" s="137" t="s">
        <v>8</v>
      </c>
      <c r="M3" s="137"/>
      <c r="N3" s="137"/>
      <c r="O3" s="137"/>
      <c r="P3" s="137"/>
      <c r="Q3" s="24"/>
      <c r="R3" s="24"/>
      <c r="S3" s="24"/>
    </row>
    <row r="4" spans="12:19" ht="19.5" customHeight="1">
      <c r="L4" s="138" t="s">
        <v>298</v>
      </c>
      <c r="M4" s="138"/>
      <c r="N4" s="138"/>
      <c r="O4" s="138"/>
      <c r="P4" s="138"/>
      <c r="Q4" s="24"/>
      <c r="R4" s="24"/>
      <c r="S4" s="24"/>
    </row>
    <row r="5" spans="12:19" ht="27" customHeight="1">
      <c r="L5" s="139" t="s">
        <v>147</v>
      </c>
      <c r="M5" s="139"/>
      <c r="N5" s="139"/>
      <c r="O5" s="139"/>
      <c r="P5" s="139"/>
      <c r="Q5" s="25"/>
      <c r="R5" s="25"/>
      <c r="S5" s="25"/>
    </row>
    <row r="6" spans="14:19" ht="12.75">
      <c r="N6" s="73"/>
      <c r="O6" s="73"/>
      <c r="P6" s="112"/>
      <c r="Q6" s="18"/>
      <c r="R6" s="18"/>
      <c r="S6" s="18"/>
    </row>
    <row r="7" spans="1:24" ht="20.25" customHeight="1">
      <c r="A7" s="131" t="s">
        <v>299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62"/>
      <c r="R7" s="62"/>
      <c r="S7" s="62"/>
      <c r="T7" s="6"/>
      <c r="U7" s="6"/>
      <c r="V7" s="6"/>
      <c r="W7" s="6"/>
      <c r="X7" s="6"/>
    </row>
    <row r="8" spans="16:24" ht="13.5">
      <c r="P8" s="113" t="s">
        <v>105</v>
      </c>
      <c r="Q8" s="19"/>
      <c r="R8" s="19"/>
      <c r="S8" s="19"/>
      <c r="T8" s="6"/>
      <c r="U8" s="6"/>
      <c r="V8" s="6"/>
      <c r="W8" s="6"/>
      <c r="X8" s="6"/>
    </row>
    <row r="9" spans="1:24" ht="12.75" customHeight="1">
      <c r="A9" s="121" t="s">
        <v>21</v>
      </c>
      <c r="B9" s="121" t="s">
        <v>24</v>
      </c>
      <c r="C9" s="121" t="s">
        <v>25</v>
      </c>
      <c r="D9" s="133" t="s">
        <v>106</v>
      </c>
      <c r="E9" s="140" t="s">
        <v>103</v>
      </c>
      <c r="F9" s="141"/>
      <c r="G9" s="141"/>
      <c r="H9" s="141"/>
      <c r="I9" s="142"/>
      <c r="J9" s="132" t="s">
        <v>104</v>
      </c>
      <c r="K9" s="132"/>
      <c r="L9" s="132"/>
      <c r="M9" s="132"/>
      <c r="N9" s="132"/>
      <c r="O9" s="132"/>
      <c r="P9" s="124" t="s">
        <v>5</v>
      </c>
      <c r="Q9" s="34"/>
      <c r="R9" s="34"/>
      <c r="S9" s="34"/>
      <c r="T9" s="6"/>
      <c r="U9" s="6"/>
      <c r="V9" s="6"/>
      <c r="W9" s="6"/>
      <c r="X9" s="6"/>
    </row>
    <row r="10" spans="1:24" ht="12.75">
      <c r="A10" s="122"/>
      <c r="B10" s="122"/>
      <c r="C10" s="122"/>
      <c r="D10" s="134"/>
      <c r="E10" s="130" t="s">
        <v>0</v>
      </c>
      <c r="F10" s="127" t="s">
        <v>22</v>
      </c>
      <c r="G10" s="130" t="s">
        <v>1</v>
      </c>
      <c r="H10" s="130"/>
      <c r="I10" s="127" t="s">
        <v>23</v>
      </c>
      <c r="J10" s="132" t="s">
        <v>0</v>
      </c>
      <c r="K10" s="127" t="s">
        <v>22</v>
      </c>
      <c r="L10" s="130" t="s">
        <v>1</v>
      </c>
      <c r="M10" s="130"/>
      <c r="N10" s="127" t="s">
        <v>23</v>
      </c>
      <c r="O10" s="63" t="s">
        <v>1</v>
      </c>
      <c r="P10" s="125"/>
      <c r="Q10" s="34"/>
      <c r="R10" s="34"/>
      <c r="S10" s="34"/>
      <c r="T10" s="6"/>
      <c r="U10" s="6"/>
      <c r="V10" s="6"/>
      <c r="W10" s="6"/>
      <c r="X10" s="6"/>
    </row>
    <row r="11" spans="1:24" ht="12.75">
      <c r="A11" s="122"/>
      <c r="B11" s="122"/>
      <c r="C11" s="122"/>
      <c r="D11" s="135"/>
      <c r="E11" s="130"/>
      <c r="F11" s="128"/>
      <c r="G11" s="130" t="s">
        <v>2</v>
      </c>
      <c r="H11" s="130" t="s">
        <v>3</v>
      </c>
      <c r="I11" s="128"/>
      <c r="J11" s="132"/>
      <c r="K11" s="128"/>
      <c r="L11" s="130" t="s">
        <v>2</v>
      </c>
      <c r="M11" s="130" t="s">
        <v>3</v>
      </c>
      <c r="N11" s="128"/>
      <c r="O11" s="130" t="s">
        <v>4</v>
      </c>
      <c r="P11" s="125"/>
      <c r="Q11" s="34"/>
      <c r="R11" s="34"/>
      <c r="S11" s="34"/>
      <c r="T11" s="6"/>
      <c r="U11" s="6"/>
      <c r="V11" s="6"/>
      <c r="W11" s="6"/>
      <c r="X11" s="6"/>
    </row>
    <row r="12" spans="1:24" ht="66" customHeight="1">
      <c r="A12" s="123"/>
      <c r="B12" s="123"/>
      <c r="C12" s="123"/>
      <c r="D12" s="44" t="s">
        <v>107</v>
      </c>
      <c r="E12" s="130"/>
      <c r="F12" s="129"/>
      <c r="G12" s="130"/>
      <c r="H12" s="130"/>
      <c r="I12" s="129"/>
      <c r="J12" s="132"/>
      <c r="K12" s="129"/>
      <c r="L12" s="130"/>
      <c r="M12" s="130"/>
      <c r="N12" s="129"/>
      <c r="O12" s="130"/>
      <c r="P12" s="126"/>
      <c r="Q12" s="34"/>
      <c r="R12" s="34"/>
      <c r="S12" s="34"/>
      <c r="T12" s="6"/>
      <c r="U12" s="6"/>
      <c r="V12" s="6"/>
      <c r="W12" s="6"/>
      <c r="X12" s="6"/>
    </row>
    <row r="13" spans="1:24" s="35" customFormat="1" ht="13.5">
      <c r="A13" s="64">
        <v>1</v>
      </c>
      <c r="B13" s="64">
        <v>2</v>
      </c>
      <c r="C13" s="64">
        <v>3</v>
      </c>
      <c r="D13" s="64">
        <v>4</v>
      </c>
      <c r="E13" s="64">
        <v>5</v>
      </c>
      <c r="F13" s="64">
        <v>6</v>
      </c>
      <c r="G13" s="64">
        <v>7</v>
      </c>
      <c r="H13" s="64">
        <v>8</v>
      </c>
      <c r="I13" s="64">
        <v>9</v>
      </c>
      <c r="J13" s="64">
        <v>10</v>
      </c>
      <c r="K13" s="64">
        <v>11</v>
      </c>
      <c r="L13" s="64">
        <v>12</v>
      </c>
      <c r="M13" s="64">
        <v>13</v>
      </c>
      <c r="N13" s="64">
        <v>14</v>
      </c>
      <c r="O13" s="64">
        <v>15</v>
      </c>
      <c r="P13" s="114" t="s">
        <v>26</v>
      </c>
      <c r="Q13" s="65"/>
      <c r="R13" s="65"/>
      <c r="S13" s="65"/>
      <c r="T13" s="65"/>
      <c r="U13" s="65"/>
      <c r="V13" s="65"/>
      <c r="W13" s="65"/>
      <c r="X13" s="65"/>
    </row>
    <row r="14" spans="1:24" s="9" customFormat="1" ht="26.25">
      <c r="A14" s="4" t="s">
        <v>6</v>
      </c>
      <c r="B14" s="4"/>
      <c r="C14" s="4"/>
      <c r="D14" s="26" t="s">
        <v>118</v>
      </c>
      <c r="E14" s="33">
        <f>E15</f>
        <v>185819613</v>
      </c>
      <c r="F14" s="33">
        <f>F15</f>
        <v>185819613</v>
      </c>
      <c r="G14" s="33">
        <f>G15</f>
        <v>8610000</v>
      </c>
      <c r="H14" s="33">
        <f>H15</f>
        <v>2594200</v>
      </c>
      <c r="I14" s="33">
        <f>I15</f>
        <v>0</v>
      </c>
      <c r="J14" s="33">
        <f aca="true" t="shared" si="0" ref="J14:J43">K14+N14</f>
        <v>200000</v>
      </c>
      <c r="K14" s="33">
        <f>K15</f>
        <v>200000</v>
      </c>
      <c r="L14" s="33">
        <f>L15</f>
        <v>0</v>
      </c>
      <c r="M14" s="33">
        <f>M15</f>
        <v>0</v>
      </c>
      <c r="N14" s="33">
        <f>N15</f>
        <v>0</v>
      </c>
      <c r="O14" s="33">
        <f>O15</f>
        <v>0</v>
      </c>
      <c r="P14" s="13">
        <f>E14+J14</f>
        <v>186019613</v>
      </c>
      <c r="Q14" s="43">
        <v>84062428</v>
      </c>
      <c r="R14" s="43">
        <f>P14-Q14</f>
        <v>101957185</v>
      </c>
      <c r="S14" s="43"/>
      <c r="T14" s="5">
        <v>26941590</v>
      </c>
      <c r="U14" s="8">
        <f>P14-T14</f>
        <v>159078023</v>
      </c>
      <c r="V14" s="8"/>
      <c r="X14" s="8"/>
    </row>
    <row r="15" spans="1:24" s="9" customFormat="1" ht="39">
      <c r="A15" s="4" t="s">
        <v>7</v>
      </c>
      <c r="B15" s="4"/>
      <c r="C15" s="4"/>
      <c r="D15" s="26" t="s">
        <v>119</v>
      </c>
      <c r="E15" s="33">
        <f>F15+I15</f>
        <v>185819613</v>
      </c>
      <c r="F15" s="33">
        <f>F16+F17+F19+F20</f>
        <v>185819613</v>
      </c>
      <c r="G15" s="33">
        <f>G16+G17+G19+G20</f>
        <v>8610000</v>
      </c>
      <c r="H15" s="33">
        <f>H16+H17+H19+H20</f>
        <v>2594200</v>
      </c>
      <c r="I15" s="33">
        <f>I16+I17+I19+I20</f>
        <v>0</v>
      </c>
      <c r="J15" s="33">
        <f t="shared" si="0"/>
        <v>200000</v>
      </c>
      <c r="K15" s="33">
        <f>K16+K17+K19+K20</f>
        <v>200000</v>
      </c>
      <c r="L15" s="33">
        <f>L16+L17+L19+L20</f>
        <v>0</v>
      </c>
      <c r="M15" s="33">
        <f>M16+M17+M19+M20</f>
        <v>0</v>
      </c>
      <c r="N15" s="33">
        <f>N16+N17+N19+N20</f>
        <v>0</v>
      </c>
      <c r="O15" s="33">
        <f>O16+O17+O19+O20</f>
        <v>0</v>
      </c>
      <c r="P15" s="13">
        <f aca="true" t="shared" si="1" ref="P15:P74">E15+J15</f>
        <v>186019613</v>
      </c>
      <c r="Q15" s="43"/>
      <c r="R15" s="43">
        <f aca="true" t="shared" si="2" ref="R15:R78">P15-Q15</f>
        <v>186019613</v>
      </c>
      <c r="S15" s="43"/>
      <c r="T15" s="5"/>
      <c r="U15" s="8">
        <f aca="true" t="shared" si="3" ref="U15:U74">P15-T15</f>
        <v>186019613</v>
      </c>
      <c r="V15" s="8"/>
      <c r="X15" s="8"/>
    </row>
    <row r="16" spans="1:24" s="6" customFormat="1" ht="39">
      <c r="A16" s="7" t="s">
        <v>186</v>
      </c>
      <c r="B16" s="7" t="s">
        <v>185</v>
      </c>
      <c r="C16" s="7" t="s">
        <v>51</v>
      </c>
      <c r="D16" s="27" t="s">
        <v>52</v>
      </c>
      <c r="E16" s="22">
        <f>F16+I16</f>
        <v>16096200</v>
      </c>
      <c r="F16" s="22">
        <v>16096200</v>
      </c>
      <c r="G16" s="22">
        <v>8610000</v>
      </c>
      <c r="H16" s="22">
        <v>2594200</v>
      </c>
      <c r="I16" s="14"/>
      <c r="J16" s="22">
        <f t="shared" si="0"/>
        <v>200000</v>
      </c>
      <c r="K16" s="22">
        <v>200000</v>
      </c>
      <c r="L16" s="33"/>
      <c r="M16" s="22"/>
      <c r="N16" s="22">
        <f>O16</f>
        <v>0</v>
      </c>
      <c r="O16" s="22"/>
      <c r="P16" s="13">
        <f t="shared" si="1"/>
        <v>16296200</v>
      </c>
      <c r="Q16" s="43">
        <v>10949100</v>
      </c>
      <c r="R16" s="43">
        <f t="shared" si="2"/>
        <v>5347100</v>
      </c>
      <c r="S16" s="43"/>
      <c r="T16" s="5"/>
      <c r="U16" s="8">
        <f t="shared" si="3"/>
        <v>16296200</v>
      </c>
      <c r="V16" s="8"/>
      <c r="X16" s="8"/>
    </row>
    <row r="17" spans="1:24" s="6" customFormat="1" ht="19.5" customHeight="1">
      <c r="A17" s="17" t="s">
        <v>288</v>
      </c>
      <c r="B17" s="7">
        <v>3240</v>
      </c>
      <c r="C17" s="7"/>
      <c r="D17" s="30" t="s">
        <v>226</v>
      </c>
      <c r="E17" s="22">
        <f aca="true" t="shared" si="4" ref="E17:E43">F17+I17</f>
        <v>3500000</v>
      </c>
      <c r="F17" s="22">
        <f>F18</f>
        <v>3500000</v>
      </c>
      <c r="G17" s="22">
        <f>G18</f>
        <v>0</v>
      </c>
      <c r="H17" s="22">
        <f>H18</f>
        <v>0</v>
      </c>
      <c r="I17" s="22">
        <f>I18</f>
        <v>0</v>
      </c>
      <c r="J17" s="22">
        <f t="shared" si="0"/>
        <v>0</v>
      </c>
      <c r="K17" s="33">
        <f>K18</f>
        <v>0</v>
      </c>
      <c r="L17" s="22">
        <f>L18</f>
        <v>0</v>
      </c>
      <c r="M17" s="33">
        <f>M18</f>
        <v>0</v>
      </c>
      <c r="N17" s="33">
        <f>N18</f>
        <v>0</v>
      </c>
      <c r="O17" s="33">
        <f>O18</f>
        <v>0</v>
      </c>
      <c r="P17" s="13">
        <f t="shared" si="1"/>
        <v>3500000</v>
      </c>
      <c r="Q17" s="43">
        <v>500000</v>
      </c>
      <c r="R17" s="43">
        <f t="shared" si="2"/>
        <v>3000000</v>
      </c>
      <c r="S17" s="43"/>
      <c r="T17" s="5"/>
      <c r="U17" s="8">
        <f t="shared" si="3"/>
        <v>3500000</v>
      </c>
      <c r="V17" s="8"/>
      <c r="X17" s="8"/>
    </row>
    <row r="18" spans="1:24" s="6" customFormat="1" ht="37.5" customHeight="1">
      <c r="A18" s="17" t="s">
        <v>289</v>
      </c>
      <c r="B18" s="7" t="s">
        <v>236</v>
      </c>
      <c r="C18" s="46" t="s">
        <v>36</v>
      </c>
      <c r="D18" s="47" t="s">
        <v>228</v>
      </c>
      <c r="E18" s="22">
        <f t="shared" si="4"/>
        <v>3500000</v>
      </c>
      <c r="F18" s="22">
        <v>3500000</v>
      </c>
      <c r="G18" s="33"/>
      <c r="H18" s="33"/>
      <c r="I18" s="13"/>
      <c r="J18" s="22">
        <f t="shared" si="0"/>
        <v>0</v>
      </c>
      <c r="K18" s="33"/>
      <c r="L18" s="33"/>
      <c r="M18" s="33"/>
      <c r="N18" s="22">
        <f>O18</f>
        <v>0</v>
      </c>
      <c r="O18" s="33"/>
      <c r="P18" s="13">
        <f t="shared" si="1"/>
        <v>3500000</v>
      </c>
      <c r="Q18" s="43"/>
      <c r="R18" s="43"/>
      <c r="S18" s="43"/>
      <c r="T18" s="5"/>
      <c r="U18" s="8"/>
      <c r="V18" s="8"/>
      <c r="X18" s="8"/>
    </row>
    <row r="19" spans="1:24" s="58" customFormat="1" ht="26.25">
      <c r="A19" s="7" t="s">
        <v>290</v>
      </c>
      <c r="B19" s="7" t="s">
        <v>62</v>
      </c>
      <c r="C19" s="7" t="s">
        <v>61</v>
      </c>
      <c r="D19" s="27" t="s">
        <v>291</v>
      </c>
      <c r="E19" s="22">
        <f t="shared" si="4"/>
        <v>166117413</v>
      </c>
      <c r="F19" s="66">
        <f>1256000+170917313-2949900-3000000-106000</f>
        <v>166117413</v>
      </c>
      <c r="G19" s="66"/>
      <c r="H19" s="66"/>
      <c r="I19" s="67"/>
      <c r="J19" s="22">
        <f t="shared" si="0"/>
        <v>0</v>
      </c>
      <c r="K19" s="66"/>
      <c r="L19" s="66"/>
      <c r="M19" s="22"/>
      <c r="N19" s="22">
        <f>O19</f>
        <v>0</v>
      </c>
      <c r="O19" s="66"/>
      <c r="P19" s="13">
        <f t="shared" si="1"/>
        <v>166117413</v>
      </c>
      <c r="Q19" s="43">
        <v>72613328</v>
      </c>
      <c r="R19" s="43">
        <f t="shared" si="2"/>
        <v>93504085</v>
      </c>
      <c r="S19" s="43"/>
      <c r="T19" s="5"/>
      <c r="U19" s="8">
        <f t="shared" si="3"/>
        <v>166117413</v>
      </c>
      <c r="V19" s="8"/>
      <c r="W19" s="6"/>
      <c r="X19" s="8"/>
    </row>
    <row r="20" spans="1:24" s="58" customFormat="1" ht="26.25">
      <c r="A20" s="7" t="s">
        <v>321</v>
      </c>
      <c r="B20" s="7">
        <v>7600</v>
      </c>
      <c r="C20" s="7"/>
      <c r="D20" s="27" t="s">
        <v>319</v>
      </c>
      <c r="E20" s="22">
        <f t="shared" si="4"/>
        <v>106000</v>
      </c>
      <c r="F20" s="66">
        <f>F21</f>
        <v>106000</v>
      </c>
      <c r="G20" s="66">
        <f>G21</f>
        <v>0</v>
      </c>
      <c r="H20" s="66">
        <f>H21</f>
        <v>0</v>
      </c>
      <c r="I20" s="66">
        <f>I21</f>
        <v>0</v>
      </c>
      <c r="J20" s="22">
        <f t="shared" si="0"/>
        <v>0</v>
      </c>
      <c r="K20" s="66">
        <f>K21</f>
        <v>0</v>
      </c>
      <c r="L20" s="66">
        <f>L21</f>
        <v>0</v>
      </c>
      <c r="M20" s="66">
        <f>M21</f>
        <v>0</v>
      </c>
      <c r="N20" s="66">
        <f>N21</f>
        <v>0</v>
      </c>
      <c r="O20" s="66">
        <f>O21</f>
        <v>0</v>
      </c>
      <c r="P20" s="13">
        <f t="shared" si="1"/>
        <v>106000</v>
      </c>
      <c r="Q20" s="43"/>
      <c r="R20" s="43"/>
      <c r="S20" s="43"/>
      <c r="T20" s="5"/>
      <c r="U20" s="8"/>
      <c r="V20" s="8"/>
      <c r="W20" s="6"/>
      <c r="X20" s="8"/>
    </row>
    <row r="21" spans="1:24" s="58" customFormat="1" ht="26.25">
      <c r="A21" s="7" t="s">
        <v>320</v>
      </c>
      <c r="B21" s="7" t="s">
        <v>322</v>
      </c>
      <c r="C21" s="7" t="s">
        <v>323</v>
      </c>
      <c r="D21" s="27" t="s">
        <v>324</v>
      </c>
      <c r="E21" s="22">
        <f t="shared" si="4"/>
        <v>106000</v>
      </c>
      <c r="F21" s="66">
        <v>106000</v>
      </c>
      <c r="G21" s="66"/>
      <c r="H21" s="66"/>
      <c r="I21" s="67"/>
      <c r="J21" s="22">
        <f t="shared" si="0"/>
        <v>0</v>
      </c>
      <c r="K21" s="66"/>
      <c r="L21" s="66"/>
      <c r="M21" s="22"/>
      <c r="N21" s="66">
        <f>N22</f>
        <v>0</v>
      </c>
      <c r="O21" s="66"/>
      <c r="P21" s="13">
        <f t="shared" si="1"/>
        <v>106000</v>
      </c>
      <c r="Q21" s="43"/>
      <c r="R21" s="43"/>
      <c r="S21" s="43"/>
      <c r="T21" s="5"/>
      <c r="U21" s="8"/>
      <c r="V21" s="8"/>
      <c r="W21" s="6"/>
      <c r="X21" s="8"/>
    </row>
    <row r="22" spans="1:24" s="9" customFormat="1" ht="45" customHeight="1">
      <c r="A22" s="4" t="s">
        <v>292</v>
      </c>
      <c r="B22" s="4"/>
      <c r="C22" s="4"/>
      <c r="D22" s="31" t="s">
        <v>53</v>
      </c>
      <c r="E22" s="33">
        <f t="shared" si="4"/>
        <v>433000</v>
      </c>
      <c r="F22" s="33">
        <f aca="true" t="shared" si="5" ref="F22:O22">F23</f>
        <v>433000</v>
      </c>
      <c r="G22" s="33">
        <f t="shared" si="5"/>
        <v>0</v>
      </c>
      <c r="H22" s="33">
        <f t="shared" si="5"/>
        <v>0</v>
      </c>
      <c r="I22" s="33">
        <f t="shared" si="5"/>
        <v>0</v>
      </c>
      <c r="J22" s="33">
        <f t="shared" si="0"/>
        <v>0</v>
      </c>
      <c r="K22" s="33">
        <f t="shared" si="5"/>
        <v>0</v>
      </c>
      <c r="L22" s="33">
        <f t="shared" si="5"/>
        <v>0</v>
      </c>
      <c r="M22" s="33">
        <f t="shared" si="5"/>
        <v>0</v>
      </c>
      <c r="N22" s="33">
        <f t="shared" si="5"/>
        <v>0</v>
      </c>
      <c r="O22" s="33">
        <f t="shared" si="5"/>
        <v>0</v>
      </c>
      <c r="P22" s="13">
        <f t="shared" si="1"/>
        <v>433000</v>
      </c>
      <c r="Q22" s="43">
        <v>559000</v>
      </c>
      <c r="R22" s="43">
        <f t="shared" si="2"/>
        <v>-126000</v>
      </c>
      <c r="S22" s="43"/>
      <c r="T22" s="5">
        <v>559000</v>
      </c>
      <c r="U22" s="8">
        <f t="shared" si="3"/>
        <v>-126000</v>
      </c>
      <c r="V22" s="8"/>
      <c r="X22" s="8"/>
    </row>
    <row r="23" spans="1:24" s="9" customFormat="1" ht="45.75" customHeight="1">
      <c r="A23" s="4" t="s">
        <v>293</v>
      </c>
      <c r="B23" s="4"/>
      <c r="C23" s="4"/>
      <c r="D23" s="31" t="s">
        <v>54</v>
      </c>
      <c r="E23" s="33">
        <f t="shared" si="4"/>
        <v>433000</v>
      </c>
      <c r="F23" s="33">
        <f>SUM(F24)</f>
        <v>433000</v>
      </c>
      <c r="G23" s="33">
        <f>SUM(G24)</f>
        <v>0</v>
      </c>
      <c r="H23" s="33">
        <f>SUM(H24)</f>
        <v>0</v>
      </c>
      <c r="I23" s="33">
        <f>SUM(I24)</f>
        <v>0</v>
      </c>
      <c r="J23" s="33">
        <f t="shared" si="0"/>
        <v>0</v>
      </c>
      <c r="K23" s="33">
        <f>SUM(K24)</f>
        <v>0</v>
      </c>
      <c r="L23" s="33">
        <f>SUM(L24)</f>
        <v>0</v>
      </c>
      <c r="M23" s="33">
        <f>SUM(M24)</f>
        <v>0</v>
      </c>
      <c r="N23" s="33">
        <f>SUM(N24)</f>
        <v>0</v>
      </c>
      <c r="O23" s="33">
        <f>SUM(O24)</f>
        <v>0</v>
      </c>
      <c r="P23" s="13">
        <f t="shared" si="1"/>
        <v>433000</v>
      </c>
      <c r="Q23" s="43"/>
      <c r="R23" s="43">
        <f t="shared" si="2"/>
        <v>433000</v>
      </c>
      <c r="S23" s="43"/>
      <c r="T23" s="5"/>
      <c r="U23" s="8">
        <f t="shared" si="3"/>
        <v>433000</v>
      </c>
      <c r="V23" s="8"/>
      <c r="X23" s="8"/>
    </row>
    <row r="24" spans="1:24" s="6" customFormat="1" ht="26.25">
      <c r="A24" s="7" t="s">
        <v>294</v>
      </c>
      <c r="B24" s="7" t="s">
        <v>287</v>
      </c>
      <c r="C24" s="7" t="s">
        <v>295</v>
      </c>
      <c r="D24" s="27" t="s">
        <v>286</v>
      </c>
      <c r="E24" s="22">
        <f t="shared" si="4"/>
        <v>433000</v>
      </c>
      <c r="F24" s="36">
        <v>433000</v>
      </c>
      <c r="G24" s="22"/>
      <c r="H24" s="22"/>
      <c r="I24" s="14"/>
      <c r="J24" s="22">
        <f t="shared" si="0"/>
        <v>0</v>
      </c>
      <c r="K24" s="22"/>
      <c r="L24" s="22"/>
      <c r="M24" s="22"/>
      <c r="N24" s="22">
        <f>O24</f>
        <v>0</v>
      </c>
      <c r="O24" s="33"/>
      <c r="P24" s="13">
        <f t="shared" si="1"/>
        <v>433000</v>
      </c>
      <c r="Q24" s="43"/>
      <c r="R24" s="43">
        <f t="shared" si="2"/>
        <v>433000</v>
      </c>
      <c r="S24" s="43"/>
      <c r="T24" s="5"/>
      <c r="U24" s="8">
        <f t="shared" si="3"/>
        <v>433000</v>
      </c>
      <c r="V24" s="8"/>
      <c r="X24" s="8"/>
    </row>
    <row r="25" spans="1:24" s="9" customFormat="1" ht="26.25">
      <c r="A25" s="2" t="s">
        <v>156</v>
      </c>
      <c r="B25" s="20"/>
      <c r="C25" s="20"/>
      <c r="D25" s="31" t="s">
        <v>49</v>
      </c>
      <c r="E25" s="33">
        <f>F25+I25</f>
        <v>685785450</v>
      </c>
      <c r="F25" s="33">
        <f aca="true" t="shared" si="6" ref="F25:O25">F26</f>
        <v>685785450</v>
      </c>
      <c r="G25" s="33">
        <f t="shared" si="6"/>
        <v>343167800</v>
      </c>
      <c r="H25" s="33">
        <f t="shared" si="6"/>
        <v>43860210</v>
      </c>
      <c r="I25" s="33">
        <f t="shared" si="6"/>
        <v>0</v>
      </c>
      <c r="J25" s="33">
        <f t="shared" si="0"/>
        <v>51041009</v>
      </c>
      <c r="K25" s="33">
        <f t="shared" si="6"/>
        <v>49348809</v>
      </c>
      <c r="L25" s="33">
        <f t="shared" si="6"/>
        <v>4903862</v>
      </c>
      <c r="M25" s="33">
        <f t="shared" si="6"/>
        <v>1963224</v>
      </c>
      <c r="N25" s="33">
        <f t="shared" si="6"/>
        <v>1692200</v>
      </c>
      <c r="O25" s="33">
        <f t="shared" si="6"/>
        <v>0</v>
      </c>
      <c r="P25" s="13">
        <f t="shared" si="1"/>
        <v>736826459</v>
      </c>
      <c r="Q25" s="43">
        <v>570362484</v>
      </c>
      <c r="R25" s="43">
        <f t="shared" si="2"/>
        <v>166463975</v>
      </c>
      <c r="S25" s="43"/>
      <c r="T25" s="5">
        <v>601111617</v>
      </c>
      <c r="U25" s="8">
        <f t="shared" si="3"/>
        <v>135714842</v>
      </c>
      <c r="V25" s="8"/>
      <c r="X25" s="8"/>
    </row>
    <row r="26" spans="1:24" s="9" customFormat="1" ht="26.25">
      <c r="A26" s="4" t="s">
        <v>300</v>
      </c>
      <c r="B26" s="20"/>
      <c r="C26" s="20"/>
      <c r="D26" s="31" t="s">
        <v>50</v>
      </c>
      <c r="E26" s="33">
        <f t="shared" si="4"/>
        <v>685785450</v>
      </c>
      <c r="F26" s="33">
        <f aca="true" t="shared" si="7" ref="F26:O26">SUM(F27:F36)+F38+F39</f>
        <v>685785450</v>
      </c>
      <c r="G26" s="33">
        <f t="shared" si="7"/>
        <v>343167800</v>
      </c>
      <c r="H26" s="33">
        <f t="shared" si="7"/>
        <v>43860210</v>
      </c>
      <c r="I26" s="33">
        <f t="shared" si="7"/>
        <v>0</v>
      </c>
      <c r="J26" s="33">
        <f t="shared" si="7"/>
        <v>51041009</v>
      </c>
      <c r="K26" s="33">
        <f t="shared" si="7"/>
        <v>49348809</v>
      </c>
      <c r="L26" s="33">
        <f t="shared" si="7"/>
        <v>4903862</v>
      </c>
      <c r="M26" s="33">
        <f t="shared" si="7"/>
        <v>1963224</v>
      </c>
      <c r="N26" s="33">
        <f t="shared" si="7"/>
        <v>1692200</v>
      </c>
      <c r="O26" s="33">
        <f t="shared" si="7"/>
        <v>0</v>
      </c>
      <c r="P26" s="13">
        <f t="shared" si="1"/>
        <v>736826459</v>
      </c>
      <c r="Q26" s="43"/>
      <c r="R26" s="43">
        <f t="shared" si="2"/>
        <v>736826459</v>
      </c>
      <c r="S26" s="43"/>
      <c r="T26" s="5"/>
      <c r="U26" s="8">
        <f t="shared" si="3"/>
        <v>736826459</v>
      </c>
      <c r="V26" s="8"/>
      <c r="X26" s="8"/>
    </row>
    <row r="27" spans="1:24" s="6" customFormat="1" ht="59.25" customHeight="1">
      <c r="A27" s="3" t="s">
        <v>157</v>
      </c>
      <c r="B27" s="7" t="s">
        <v>28</v>
      </c>
      <c r="C27" s="7" t="s">
        <v>30</v>
      </c>
      <c r="D27" s="94" t="s">
        <v>29</v>
      </c>
      <c r="E27" s="92">
        <f t="shared" si="4"/>
        <v>59726500</v>
      </c>
      <c r="F27" s="37">
        <v>59726500</v>
      </c>
      <c r="G27" s="37">
        <v>31287700</v>
      </c>
      <c r="H27" s="37">
        <v>5820400</v>
      </c>
      <c r="I27" s="15"/>
      <c r="J27" s="22">
        <f t="shared" si="0"/>
        <v>160387</v>
      </c>
      <c r="K27" s="37">
        <v>160387</v>
      </c>
      <c r="L27" s="37"/>
      <c r="M27" s="37">
        <v>6200</v>
      </c>
      <c r="N27" s="37">
        <f>O27</f>
        <v>0</v>
      </c>
      <c r="O27" s="22"/>
      <c r="P27" s="13">
        <f t="shared" si="1"/>
        <v>59886887</v>
      </c>
      <c r="Q27" s="43"/>
      <c r="R27" s="43">
        <f t="shared" si="2"/>
        <v>59886887</v>
      </c>
      <c r="S27" s="43"/>
      <c r="T27" s="5"/>
      <c r="U27" s="8">
        <f t="shared" si="3"/>
        <v>59886887</v>
      </c>
      <c r="V27" s="8"/>
      <c r="X27" s="8"/>
    </row>
    <row r="28" spans="1:24" s="6" customFormat="1" ht="84" customHeight="1">
      <c r="A28" s="3" t="s">
        <v>158</v>
      </c>
      <c r="B28" s="7" t="s">
        <v>31</v>
      </c>
      <c r="C28" s="7" t="s">
        <v>32</v>
      </c>
      <c r="D28" s="93" t="s">
        <v>317</v>
      </c>
      <c r="E28" s="22">
        <f t="shared" si="4"/>
        <v>14428000</v>
      </c>
      <c r="F28" s="37">
        <v>14428000</v>
      </c>
      <c r="G28" s="37">
        <v>7635500</v>
      </c>
      <c r="H28" s="37">
        <v>1026300</v>
      </c>
      <c r="I28" s="15"/>
      <c r="J28" s="22">
        <f t="shared" si="0"/>
        <v>50000</v>
      </c>
      <c r="K28" s="37">
        <v>50000</v>
      </c>
      <c r="L28" s="37"/>
      <c r="M28" s="37">
        <v>5000</v>
      </c>
      <c r="N28" s="37">
        <f aca="true" t="shared" si="8" ref="N28:N41">O28</f>
        <v>0</v>
      </c>
      <c r="O28" s="37"/>
      <c r="P28" s="13">
        <f t="shared" si="1"/>
        <v>14478000</v>
      </c>
      <c r="Q28" s="43"/>
      <c r="R28" s="43">
        <f t="shared" si="2"/>
        <v>14478000</v>
      </c>
      <c r="S28" s="43"/>
      <c r="T28" s="5"/>
      <c r="U28" s="8">
        <f t="shared" si="3"/>
        <v>14478000</v>
      </c>
      <c r="V28" s="8"/>
      <c r="X28" s="8"/>
    </row>
    <row r="29" spans="1:24" s="6" customFormat="1" ht="89.25" customHeight="1">
      <c r="A29" s="3" t="s">
        <v>159</v>
      </c>
      <c r="B29" s="7" t="s">
        <v>33</v>
      </c>
      <c r="C29" s="7" t="s">
        <v>30</v>
      </c>
      <c r="D29" s="28" t="s">
        <v>34</v>
      </c>
      <c r="E29" s="22">
        <f t="shared" si="4"/>
        <v>135358950</v>
      </c>
      <c r="F29" s="37">
        <f>135404100-45150</f>
        <v>135358950</v>
      </c>
      <c r="G29" s="37">
        <f>86349600-37000</f>
        <v>86312600</v>
      </c>
      <c r="H29" s="37">
        <v>6652800</v>
      </c>
      <c r="I29" s="15"/>
      <c r="J29" s="22">
        <f t="shared" si="0"/>
        <v>81548</v>
      </c>
      <c r="K29" s="37">
        <v>81548</v>
      </c>
      <c r="L29" s="37">
        <v>2000</v>
      </c>
      <c r="M29" s="37"/>
      <c r="N29" s="37">
        <f t="shared" si="8"/>
        <v>0</v>
      </c>
      <c r="O29" s="22"/>
      <c r="P29" s="13">
        <f t="shared" si="1"/>
        <v>135440498</v>
      </c>
      <c r="Q29" s="43"/>
      <c r="R29" s="43">
        <f t="shared" si="2"/>
        <v>135440498</v>
      </c>
      <c r="S29" s="43"/>
      <c r="T29" s="5"/>
      <c r="U29" s="8">
        <f t="shared" si="3"/>
        <v>135440498</v>
      </c>
      <c r="V29" s="8"/>
      <c r="X29" s="8"/>
    </row>
    <row r="30" spans="1:24" s="6" customFormat="1" ht="118.5">
      <c r="A30" s="3" t="s">
        <v>160</v>
      </c>
      <c r="B30" s="7" t="s">
        <v>35</v>
      </c>
      <c r="C30" s="7" t="s">
        <v>30</v>
      </c>
      <c r="D30" s="28" t="s">
        <v>153</v>
      </c>
      <c r="E30" s="22">
        <f t="shared" si="4"/>
        <v>80223800</v>
      </c>
      <c r="F30" s="37">
        <v>80223800</v>
      </c>
      <c r="G30" s="37">
        <v>39030200</v>
      </c>
      <c r="H30" s="22">
        <v>5817500</v>
      </c>
      <c r="I30" s="14"/>
      <c r="J30" s="22">
        <f t="shared" si="0"/>
        <v>507000</v>
      </c>
      <c r="K30" s="37">
        <v>507000</v>
      </c>
      <c r="L30" s="37"/>
      <c r="M30" s="22">
        <v>36000</v>
      </c>
      <c r="N30" s="37">
        <f t="shared" si="8"/>
        <v>0</v>
      </c>
      <c r="O30" s="37"/>
      <c r="P30" s="13">
        <f t="shared" si="1"/>
        <v>80730800</v>
      </c>
      <c r="Q30" s="43"/>
      <c r="R30" s="43">
        <f t="shared" si="2"/>
        <v>80730800</v>
      </c>
      <c r="S30" s="43"/>
      <c r="T30" s="5"/>
      <c r="U30" s="8">
        <f t="shared" si="3"/>
        <v>80730800</v>
      </c>
      <c r="V30" s="8"/>
      <c r="X30" s="8"/>
    </row>
    <row r="31" spans="1:24" s="6" customFormat="1" ht="39">
      <c r="A31" s="3" t="s">
        <v>161</v>
      </c>
      <c r="B31" s="7" t="s">
        <v>36</v>
      </c>
      <c r="C31" s="7" t="s">
        <v>37</v>
      </c>
      <c r="D31" s="28" t="s">
        <v>38</v>
      </c>
      <c r="E31" s="22">
        <f t="shared" si="4"/>
        <v>35742800</v>
      </c>
      <c r="F31" s="37">
        <v>35742800</v>
      </c>
      <c r="G31" s="37">
        <v>24028300</v>
      </c>
      <c r="H31" s="37">
        <v>3331150</v>
      </c>
      <c r="I31" s="15"/>
      <c r="J31" s="22">
        <f t="shared" si="0"/>
        <v>981573</v>
      </c>
      <c r="K31" s="37">
        <v>961573</v>
      </c>
      <c r="L31" s="37">
        <v>347000</v>
      </c>
      <c r="M31" s="37">
        <v>66500</v>
      </c>
      <c r="N31" s="37">
        <f>O31+20000</f>
        <v>20000</v>
      </c>
      <c r="O31" s="22"/>
      <c r="P31" s="13">
        <f t="shared" si="1"/>
        <v>36724373</v>
      </c>
      <c r="Q31" s="43"/>
      <c r="R31" s="43">
        <f t="shared" si="2"/>
        <v>36724373</v>
      </c>
      <c r="S31" s="43"/>
      <c r="T31" s="5"/>
      <c r="U31" s="8">
        <f t="shared" si="3"/>
        <v>36724373</v>
      </c>
      <c r="V31" s="8"/>
      <c r="X31" s="8"/>
    </row>
    <row r="32" spans="1:24" s="6" customFormat="1" ht="39">
      <c r="A32" s="3" t="s">
        <v>162</v>
      </c>
      <c r="B32" s="7" t="s">
        <v>148</v>
      </c>
      <c r="C32" s="7" t="s">
        <v>39</v>
      </c>
      <c r="D32" s="28" t="s">
        <v>149</v>
      </c>
      <c r="E32" s="22">
        <f t="shared" si="4"/>
        <v>221430600</v>
      </c>
      <c r="F32" s="37">
        <v>221430600</v>
      </c>
      <c r="G32" s="37">
        <v>137775800</v>
      </c>
      <c r="H32" s="37">
        <v>19010460</v>
      </c>
      <c r="I32" s="15"/>
      <c r="J32" s="22">
        <f t="shared" si="0"/>
        <v>17343900</v>
      </c>
      <c r="K32" s="37">
        <v>16036700</v>
      </c>
      <c r="L32" s="37">
        <v>4043862</v>
      </c>
      <c r="M32" s="37">
        <v>1607784</v>
      </c>
      <c r="N32" s="37">
        <f>O32+1307200</f>
        <v>1307200</v>
      </c>
      <c r="O32" s="22"/>
      <c r="P32" s="13">
        <f t="shared" si="1"/>
        <v>238774500</v>
      </c>
      <c r="Q32" s="43"/>
      <c r="R32" s="43">
        <f t="shared" si="2"/>
        <v>238774500</v>
      </c>
      <c r="S32" s="43"/>
      <c r="T32" s="5"/>
      <c r="U32" s="8">
        <f t="shared" si="3"/>
        <v>238774500</v>
      </c>
      <c r="V32" s="8"/>
      <c r="X32" s="8"/>
    </row>
    <row r="33" spans="1:24" s="6" customFormat="1" ht="39">
      <c r="A33" s="3" t="s">
        <v>163</v>
      </c>
      <c r="B33" s="7" t="s">
        <v>63</v>
      </c>
      <c r="C33" s="7" t="s">
        <v>64</v>
      </c>
      <c r="D33" s="98" t="s">
        <v>150</v>
      </c>
      <c r="E33" s="22">
        <f t="shared" si="4"/>
        <v>50205400</v>
      </c>
      <c r="F33" s="37">
        <v>50205400</v>
      </c>
      <c r="G33" s="37"/>
      <c r="H33" s="37"/>
      <c r="I33" s="15"/>
      <c r="J33" s="22">
        <f t="shared" si="0"/>
        <v>3313500</v>
      </c>
      <c r="K33" s="37">
        <v>3183500</v>
      </c>
      <c r="L33" s="37"/>
      <c r="M33" s="37"/>
      <c r="N33" s="37">
        <f>O33+130000</f>
        <v>130000</v>
      </c>
      <c r="O33" s="22"/>
      <c r="P33" s="13">
        <f t="shared" si="1"/>
        <v>53518900</v>
      </c>
      <c r="Q33" s="43"/>
      <c r="R33" s="43"/>
      <c r="S33" s="43"/>
      <c r="T33" s="5"/>
      <c r="U33" s="8"/>
      <c r="V33" s="8"/>
      <c r="X33" s="8"/>
    </row>
    <row r="34" spans="1:24" s="6" customFormat="1" ht="52.5">
      <c r="A34" s="3" t="s">
        <v>164</v>
      </c>
      <c r="B34" s="7" t="s">
        <v>40</v>
      </c>
      <c r="C34" s="7" t="s">
        <v>41</v>
      </c>
      <c r="D34" s="28" t="s">
        <v>154</v>
      </c>
      <c r="E34" s="22">
        <f t="shared" si="4"/>
        <v>57167900</v>
      </c>
      <c r="F34" s="37">
        <v>57167900</v>
      </c>
      <c r="G34" s="37"/>
      <c r="H34" s="37"/>
      <c r="I34" s="15"/>
      <c r="J34" s="22">
        <f t="shared" si="0"/>
        <v>27442000</v>
      </c>
      <c r="K34" s="37">
        <v>27242000</v>
      </c>
      <c r="L34" s="37"/>
      <c r="M34" s="37"/>
      <c r="N34" s="37">
        <f>O34+200000</f>
        <v>200000</v>
      </c>
      <c r="O34" s="22"/>
      <c r="P34" s="13">
        <f t="shared" si="1"/>
        <v>84609900</v>
      </c>
      <c r="Q34" s="43"/>
      <c r="R34" s="43">
        <f t="shared" si="2"/>
        <v>84609900</v>
      </c>
      <c r="S34" s="43"/>
      <c r="T34" s="5"/>
      <c r="U34" s="8">
        <f t="shared" si="3"/>
        <v>84609900</v>
      </c>
      <c r="V34" s="8"/>
      <c r="X34" s="8"/>
    </row>
    <row r="35" spans="1:24" s="6" customFormat="1" ht="26.25">
      <c r="A35" s="3" t="s">
        <v>165</v>
      </c>
      <c r="B35" s="7" t="s">
        <v>42</v>
      </c>
      <c r="C35" s="7" t="s">
        <v>43</v>
      </c>
      <c r="D35" s="30" t="s">
        <v>155</v>
      </c>
      <c r="E35" s="22">
        <f t="shared" si="4"/>
        <v>19056600</v>
      </c>
      <c r="F35" s="37">
        <v>19056600</v>
      </c>
      <c r="G35" s="37">
        <v>13752900</v>
      </c>
      <c r="H35" s="37">
        <v>844200</v>
      </c>
      <c r="I35" s="15"/>
      <c r="J35" s="22">
        <f t="shared" si="0"/>
        <v>391101</v>
      </c>
      <c r="K35" s="37">
        <v>356101</v>
      </c>
      <c r="L35" s="37">
        <v>90000</v>
      </c>
      <c r="M35" s="37">
        <v>12740</v>
      </c>
      <c r="N35" s="37">
        <f>O35+35000</f>
        <v>35000</v>
      </c>
      <c r="O35" s="22"/>
      <c r="P35" s="13">
        <f t="shared" si="1"/>
        <v>19447701</v>
      </c>
      <c r="Q35" s="43"/>
      <c r="R35" s="43">
        <f t="shared" si="2"/>
        <v>19447701</v>
      </c>
      <c r="S35" s="43"/>
      <c r="T35" s="5"/>
      <c r="U35" s="8">
        <f t="shared" si="3"/>
        <v>19447701</v>
      </c>
      <c r="V35" s="8"/>
      <c r="X35" s="8"/>
    </row>
    <row r="36" spans="1:24" s="6" customFormat="1" ht="36" customHeight="1">
      <c r="A36" s="3" t="s">
        <v>166</v>
      </c>
      <c r="B36" s="7" t="s">
        <v>151</v>
      </c>
      <c r="C36" s="7"/>
      <c r="D36" s="30" t="s">
        <v>152</v>
      </c>
      <c r="E36" s="22">
        <f t="shared" si="4"/>
        <v>6458500</v>
      </c>
      <c r="F36" s="37">
        <f>F37</f>
        <v>6458500</v>
      </c>
      <c r="G36" s="37">
        <f>G37</f>
        <v>3344800</v>
      </c>
      <c r="H36" s="37">
        <f>H37</f>
        <v>1357400</v>
      </c>
      <c r="I36" s="37">
        <f>I37</f>
        <v>0</v>
      </c>
      <c r="J36" s="22">
        <f t="shared" si="0"/>
        <v>770000</v>
      </c>
      <c r="K36" s="37">
        <f>K37</f>
        <v>770000</v>
      </c>
      <c r="L36" s="37">
        <f>L37</f>
        <v>421000</v>
      </c>
      <c r="M36" s="37">
        <f>M37</f>
        <v>229000</v>
      </c>
      <c r="N36" s="37">
        <f>N37</f>
        <v>0</v>
      </c>
      <c r="O36" s="37">
        <f>O37</f>
        <v>0</v>
      </c>
      <c r="P36" s="13">
        <f t="shared" si="1"/>
        <v>7228500</v>
      </c>
      <c r="Q36" s="43"/>
      <c r="R36" s="43">
        <f t="shared" si="2"/>
        <v>7228500</v>
      </c>
      <c r="S36" s="43"/>
      <c r="T36" s="5"/>
      <c r="U36" s="8">
        <f t="shared" si="3"/>
        <v>7228500</v>
      </c>
      <c r="V36" s="8"/>
      <c r="X36" s="8"/>
    </row>
    <row r="37" spans="1:24" s="53" customFormat="1" ht="30" customHeight="1">
      <c r="A37" s="45" t="s">
        <v>190</v>
      </c>
      <c r="B37" s="46">
        <v>1161</v>
      </c>
      <c r="C37" s="46" t="s">
        <v>44</v>
      </c>
      <c r="D37" s="47" t="s">
        <v>189</v>
      </c>
      <c r="E37" s="48">
        <f t="shared" si="4"/>
        <v>6458500</v>
      </c>
      <c r="F37" s="49">
        <f>6413350+45150</f>
        <v>6458500</v>
      </c>
      <c r="G37" s="49">
        <f>3307800+37000</f>
        <v>3344800</v>
      </c>
      <c r="H37" s="49">
        <v>1357400</v>
      </c>
      <c r="I37" s="50"/>
      <c r="J37" s="48">
        <f t="shared" si="0"/>
        <v>770000</v>
      </c>
      <c r="K37" s="49">
        <v>770000</v>
      </c>
      <c r="L37" s="49">
        <v>421000</v>
      </c>
      <c r="M37" s="49">
        <v>229000</v>
      </c>
      <c r="N37" s="49">
        <f t="shared" si="8"/>
        <v>0</v>
      </c>
      <c r="O37" s="48"/>
      <c r="P37" s="13">
        <f t="shared" si="1"/>
        <v>7228500</v>
      </c>
      <c r="Q37" s="51"/>
      <c r="R37" s="51"/>
      <c r="S37" s="51"/>
      <c r="T37" s="61"/>
      <c r="U37" s="52"/>
      <c r="V37" s="52"/>
      <c r="X37" s="52"/>
    </row>
    <row r="38" spans="1:24" s="6" customFormat="1" ht="66">
      <c r="A38" s="3" t="s">
        <v>167</v>
      </c>
      <c r="B38" s="7" t="s">
        <v>95</v>
      </c>
      <c r="C38" s="7" t="s">
        <v>28</v>
      </c>
      <c r="D38" s="28" t="s">
        <v>45</v>
      </c>
      <c r="E38" s="22">
        <f t="shared" si="4"/>
        <v>4999500</v>
      </c>
      <c r="F38" s="37">
        <v>4999500</v>
      </c>
      <c r="G38" s="37"/>
      <c r="H38" s="37"/>
      <c r="I38" s="15"/>
      <c r="J38" s="22">
        <f t="shared" si="0"/>
        <v>0</v>
      </c>
      <c r="K38" s="37"/>
      <c r="L38" s="37"/>
      <c r="M38" s="37"/>
      <c r="N38" s="37">
        <f t="shared" si="8"/>
        <v>0</v>
      </c>
      <c r="O38" s="22"/>
      <c r="P38" s="13">
        <f t="shared" si="1"/>
        <v>4999500</v>
      </c>
      <c r="Q38" s="43"/>
      <c r="R38" s="43">
        <f t="shared" si="2"/>
        <v>4999500</v>
      </c>
      <c r="S38" s="43"/>
      <c r="T38" s="5"/>
      <c r="U38" s="8">
        <f t="shared" si="3"/>
        <v>4999500</v>
      </c>
      <c r="V38" s="8"/>
      <c r="X38" s="8"/>
    </row>
    <row r="39" spans="1:24" s="6" customFormat="1" ht="12.75">
      <c r="A39" s="3" t="s">
        <v>168</v>
      </c>
      <c r="B39" s="7" t="s">
        <v>108</v>
      </c>
      <c r="C39" s="7"/>
      <c r="D39" s="28" t="s">
        <v>110</v>
      </c>
      <c r="E39" s="22">
        <f t="shared" si="4"/>
        <v>986900</v>
      </c>
      <c r="F39" s="37">
        <f>F40+F41</f>
        <v>986900</v>
      </c>
      <c r="G39" s="37">
        <f>G40+G41</f>
        <v>0</v>
      </c>
      <c r="H39" s="37">
        <f>H40+H41</f>
        <v>0</v>
      </c>
      <c r="I39" s="37">
        <f>I40+I41</f>
        <v>0</v>
      </c>
      <c r="J39" s="22">
        <f t="shared" si="0"/>
        <v>0</v>
      </c>
      <c r="K39" s="37">
        <f>K40+K41</f>
        <v>0</v>
      </c>
      <c r="L39" s="37">
        <f>L40+L41</f>
        <v>0</v>
      </c>
      <c r="M39" s="37">
        <f>M40+M41</f>
        <v>0</v>
      </c>
      <c r="N39" s="37">
        <f>N40+N41</f>
        <v>0</v>
      </c>
      <c r="O39" s="37">
        <f>O40+O41</f>
        <v>0</v>
      </c>
      <c r="P39" s="13">
        <f t="shared" si="1"/>
        <v>986900</v>
      </c>
      <c r="Q39" s="43"/>
      <c r="R39" s="43">
        <f t="shared" si="2"/>
        <v>986900</v>
      </c>
      <c r="S39" s="43"/>
      <c r="T39" s="5"/>
      <c r="U39" s="8">
        <f t="shared" si="3"/>
        <v>986900</v>
      </c>
      <c r="V39" s="8"/>
      <c r="X39" s="8"/>
    </row>
    <row r="40" spans="1:24" s="53" customFormat="1" ht="39">
      <c r="A40" s="45" t="s">
        <v>169</v>
      </c>
      <c r="B40" s="46" t="s">
        <v>46</v>
      </c>
      <c r="C40" s="46" t="s">
        <v>47</v>
      </c>
      <c r="D40" s="47" t="s">
        <v>121</v>
      </c>
      <c r="E40" s="48">
        <f t="shared" si="4"/>
        <v>800200</v>
      </c>
      <c r="F40" s="49">
        <v>800200</v>
      </c>
      <c r="G40" s="49"/>
      <c r="H40" s="49"/>
      <c r="I40" s="50"/>
      <c r="J40" s="48">
        <f t="shared" si="0"/>
        <v>0</v>
      </c>
      <c r="K40" s="49"/>
      <c r="L40" s="49"/>
      <c r="M40" s="49"/>
      <c r="N40" s="49">
        <f t="shared" si="8"/>
        <v>0</v>
      </c>
      <c r="O40" s="48"/>
      <c r="P40" s="13">
        <f t="shared" si="1"/>
        <v>800200</v>
      </c>
      <c r="Q40" s="51"/>
      <c r="R40" s="43">
        <f t="shared" si="2"/>
        <v>800200</v>
      </c>
      <c r="S40" s="51"/>
      <c r="T40" s="61"/>
      <c r="U40" s="8">
        <f t="shared" si="3"/>
        <v>800200</v>
      </c>
      <c r="V40" s="52"/>
      <c r="X40" s="52"/>
    </row>
    <row r="41" spans="1:24" s="53" customFormat="1" ht="39">
      <c r="A41" s="45" t="s">
        <v>170</v>
      </c>
      <c r="B41" s="46" t="s">
        <v>97</v>
      </c>
      <c r="C41" s="46" t="s">
        <v>47</v>
      </c>
      <c r="D41" s="47" t="s">
        <v>16</v>
      </c>
      <c r="E41" s="48">
        <f t="shared" si="4"/>
        <v>186700</v>
      </c>
      <c r="F41" s="49">
        <v>186700</v>
      </c>
      <c r="G41" s="49"/>
      <c r="H41" s="49"/>
      <c r="I41" s="50"/>
      <c r="J41" s="48">
        <f t="shared" si="0"/>
        <v>0</v>
      </c>
      <c r="K41" s="49"/>
      <c r="L41" s="49"/>
      <c r="M41" s="49"/>
      <c r="N41" s="49">
        <f t="shared" si="8"/>
        <v>0</v>
      </c>
      <c r="O41" s="48"/>
      <c r="P41" s="13">
        <f t="shared" si="1"/>
        <v>186700</v>
      </c>
      <c r="Q41" s="51"/>
      <c r="R41" s="43"/>
      <c r="S41" s="51"/>
      <c r="T41" s="61"/>
      <c r="U41" s="8">
        <f t="shared" si="3"/>
        <v>186700</v>
      </c>
      <c r="V41" s="52"/>
      <c r="X41" s="52"/>
    </row>
    <row r="42" spans="1:24" s="9" customFormat="1" ht="26.25">
      <c r="A42" s="4" t="s">
        <v>244</v>
      </c>
      <c r="B42" s="20"/>
      <c r="C42" s="20"/>
      <c r="D42" s="11" t="s">
        <v>58</v>
      </c>
      <c r="E42" s="33">
        <f t="shared" si="4"/>
        <v>1002589000</v>
      </c>
      <c r="F42" s="33">
        <f>F43</f>
        <v>1002589000</v>
      </c>
      <c r="G42" s="33">
        <f>G43</f>
        <v>950660</v>
      </c>
      <c r="H42" s="33">
        <f>H43</f>
        <v>56440</v>
      </c>
      <c r="I42" s="33">
        <f>I43</f>
        <v>0</v>
      </c>
      <c r="J42" s="33">
        <f t="shared" si="0"/>
        <v>51845275</v>
      </c>
      <c r="K42" s="33">
        <f>K43</f>
        <v>30569575</v>
      </c>
      <c r="L42" s="33">
        <f>L43</f>
        <v>0</v>
      </c>
      <c r="M42" s="33">
        <f>M43</f>
        <v>0</v>
      </c>
      <c r="N42" s="33">
        <f>N43</f>
        <v>21275700</v>
      </c>
      <c r="O42" s="33">
        <f>O43</f>
        <v>11538000</v>
      </c>
      <c r="P42" s="13">
        <f t="shared" si="1"/>
        <v>1054434275</v>
      </c>
      <c r="Q42" s="43">
        <v>946460030</v>
      </c>
      <c r="R42" s="43">
        <f t="shared" si="2"/>
        <v>107974245</v>
      </c>
      <c r="S42" s="43"/>
      <c r="T42" s="5">
        <v>1018176128</v>
      </c>
      <c r="U42" s="8">
        <f t="shared" si="3"/>
        <v>36258147</v>
      </c>
      <c r="V42" s="8">
        <v>9384989</v>
      </c>
      <c r="W42" s="8">
        <f>U42-V42</f>
        <v>26873158</v>
      </c>
      <c r="X42" s="8"/>
    </row>
    <row r="43" spans="1:24" s="9" customFormat="1" ht="26.25">
      <c r="A43" s="4" t="s">
        <v>245</v>
      </c>
      <c r="B43" s="20"/>
      <c r="C43" s="20"/>
      <c r="D43" s="11" t="s">
        <v>55</v>
      </c>
      <c r="E43" s="33">
        <f t="shared" si="4"/>
        <v>1002589000</v>
      </c>
      <c r="F43" s="33">
        <f>SUM(F44:F55)+F58+F59</f>
        <v>1002589000</v>
      </c>
      <c r="G43" s="33">
        <f>SUM(G44:G55)+G58+G59</f>
        <v>950660</v>
      </c>
      <c r="H43" s="33">
        <f>SUM(H44:H55)+H58+H59</f>
        <v>56440</v>
      </c>
      <c r="I43" s="33">
        <f>SUM(I44:I55)+I58+I59</f>
        <v>0</v>
      </c>
      <c r="J43" s="33">
        <f t="shared" si="0"/>
        <v>51845275</v>
      </c>
      <c r="K43" s="33">
        <f>SUM(K44:K55)+K58+K59</f>
        <v>30569575</v>
      </c>
      <c r="L43" s="33">
        <f>SUM(L44:L55)+L58+L59</f>
        <v>0</v>
      </c>
      <c r="M43" s="33">
        <f>SUM(M44:M55)+M58+M59</f>
        <v>0</v>
      </c>
      <c r="N43" s="33">
        <f>SUM(N44:N55)+N58+N59</f>
        <v>21275700</v>
      </c>
      <c r="O43" s="33">
        <f>SUM(O44:O55)+O58+O59</f>
        <v>11538000</v>
      </c>
      <c r="P43" s="13">
        <f t="shared" si="1"/>
        <v>1054434275</v>
      </c>
      <c r="Q43" s="43"/>
      <c r="R43" s="43">
        <f t="shared" si="2"/>
        <v>1054434275</v>
      </c>
      <c r="S43" s="43"/>
      <c r="T43" s="5"/>
      <c r="U43" s="8">
        <f t="shared" si="3"/>
        <v>1054434275</v>
      </c>
      <c r="V43" s="8"/>
      <c r="X43" s="8"/>
    </row>
    <row r="44" spans="1:24" s="6" customFormat="1" ht="43.5" customHeight="1">
      <c r="A44" s="7" t="s">
        <v>246</v>
      </c>
      <c r="B44" s="7" t="s">
        <v>63</v>
      </c>
      <c r="C44" s="7" t="s">
        <v>64</v>
      </c>
      <c r="D44" s="30" t="s">
        <v>205</v>
      </c>
      <c r="E44" s="22">
        <f aca="true" t="shared" si="9" ref="E44:E78">F44+I44</f>
        <v>46385400</v>
      </c>
      <c r="F44" s="37">
        <f>46092600+292800</f>
        <v>46385400</v>
      </c>
      <c r="G44" s="37"/>
      <c r="H44" s="33"/>
      <c r="I44" s="13"/>
      <c r="J44" s="22">
        <f aca="true" t="shared" si="10" ref="J44:J78">K44+N44</f>
        <v>20748500</v>
      </c>
      <c r="K44" s="37">
        <v>20428500</v>
      </c>
      <c r="L44" s="37"/>
      <c r="M44" s="37"/>
      <c r="N44" s="37">
        <f>O44+320000</f>
        <v>320000</v>
      </c>
      <c r="O44" s="22"/>
      <c r="P44" s="13">
        <f t="shared" si="1"/>
        <v>67133900</v>
      </c>
      <c r="Q44" s="43"/>
      <c r="R44" s="43">
        <f t="shared" si="2"/>
        <v>67133900</v>
      </c>
      <c r="S44" s="43"/>
      <c r="T44" s="5"/>
      <c r="U44" s="8">
        <f t="shared" si="3"/>
        <v>67133900</v>
      </c>
      <c r="V44" s="8"/>
      <c r="X44" s="8"/>
    </row>
    <row r="45" spans="1:24" s="6" customFormat="1" ht="26.25">
      <c r="A45" s="7" t="s">
        <v>247</v>
      </c>
      <c r="B45" s="7" t="s">
        <v>65</v>
      </c>
      <c r="C45" s="7" t="s">
        <v>66</v>
      </c>
      <c r="D45" s="28" t="s">
        <v>9</v>
      </c>
      <c r="E45" s="22">
        <f t="shared" si="9"/>
        <v>199676600</v>
      </c>
      <c r="F45" s="37">
        <f>190537100+9139500</f>
        <v>199676600</v>
      </c>
      <c r="G45" s="37"/>
      <c r="H45" s="22"/>
      <c r="I45" s="14"/>
      <c r="J45" s="22">
        <f t="shared" si="10"/>
        <v>2976300</v>
      </c>
      <c r="K45" s="37">
        <v>2976300</v>
      </c>
      <c r="L45" s="37"/>
      <c r="M45" s="22"/>
      <c r="N45" s="37">
        <f aca="true" t="shared" si="11" ref="N45:N53">O45</f>
        <v>0</v>
      </c>
      <c r="O45" s="37"/>
      <c r="P45" s="13">
        <f t="shared" si="1"/>
        <v>202652900</v>
      </c>
      <c r="Q45" s="43"/>
      <c r="R45" s="43">
        <f t="shared" si="2"/>
        <v>202652900</v>
      </c>
      <c r="S45" s="43"/>
      <c r="T45" s="5"/>
      <c r="U45" s="8">
        <f t="shared" si="3"/>
        <v>202652900</v>
      </c>
      <c r="V45" s="8"/>
      <c r="X45" s="8"/>
    </row>
    <row r="46" spans="1:24" s="6" customFormat="1" ht="26.25">
      <c r="A46" s="7" t="s">
        <v>253</v>
      </c>
      <c r="B46" s="7" t="s">
        <v>254</v>
      </c>
      <c r="C46" s="7" t="s">
        <v>67</v>
      </c>
      <c r="D46" s="28" t="s">
        <v>10</v>
      </c>
      <c r="E46" s="22">
        <f t="shared" si="9"/>
        <v>364813400</v>
      </c>
      <c r="F46" s="37">
        <f>358116000+6697400</f>
        <v>364813400</v>
      </c>
      <c r="G46" s="37"/>
      <c r="H46" s="22"/>
      <c r="I46" s="14"/>
      <c r="J46" s="22">
        <f t="shared" si="10"/>
        <v>13943290</v>
      </c>
      <c r="K46" s="37">
        <v>2360290</v>
      </c>
      <c r="L46" s="37"/>
      <c r="M46" s="22"/>
      <c r="N46" s="37">
        <f>O46+45000</f>
        <v>11583000</v>
      </c>
      <c r="O46" s="22">
        <v>11538000</v>
      </c>
      <c r="P46" s="13">
        <f t="shared" si="1"/>
        <v>378756690</v>
      </c>
      <c r="Q46" s="43"/>
      <c r="R46" s="43">
        <f t="shared" si="2"/>
        <v>378756690</v>
      </c>
      <c r="S46" s="43"/>
      <c r="T46" s="5"/>
      <c r="U46" s="8">
        <f t="shared" si="3"/>
        <v>378756690</v>
      </c>
      <c r="V46" s="8"/>
      <c r="X46" s="8"/>
    </row>
    <row r="47" spans="1:24" s="6" customFormat="1" ht="26.25">
      <c r="A47" s="7" t="s">
        <v>256</v>
      </c>
      <c r="B47" s="7" t="s">
        <v>257</v>
      </c>
      <c r="C47" s="7" t="s">
        <v>69</v>
      </c>
      <c r="D47" s="28" t="s">
        <v>255</v>
      </c>
      <c r="E47" s="22">
        <f t="shared" si="9"/>
        <v>32032400</v>
      </c>
      <c r="F47" s="37">
        <f>31614000+418400</f>
        <v>32032400</v>
      </c>
      <c r="G47" s="37"/>
      <c r="H47" s="37"/>
      <c r="I47" s="15"/>
      <c r="J47" s="22">
        <f t="shared" si="10"/>
        <v>11285</v>
      </c>
      <c r="K47" s="37">
        <v>11285</v>
      </c>
      <c r="L47" s="37"/>
      <c r="M47" s="37"/>
      <c r="N47" s="37">
        <f t="shared" si="11"/>
        <v>0</v>
      </c>
      <c r="O47" s="22"/>
      <c r="P47" s="13">
        <f t="shared" si="1"/>
        <v>32043685</v>
      </c>
      <c r="Q47" s="43"/>
      <c r="R47" s="43">
        <f t="shared" si="2"/>
        <v>32043685</v>
      </c>
      <c r="S47" s="43"/>
      <c r="T47" s="5"/>
      <c r="U47" s="8">
        <f t="shared" si="3"/>
        <v>32043685</v>
      </c>
      <c r="V47" s="8"/>
      <c r="X47" s="8"/>
    </row>
    <row r="48" spans="1:24" s="6" customFormat="1" ht="39">
      <c r="A48" s="7" t="s">
        <v>258</v>
      </c>
      <c r="B48" s="7" t="s">
        <v>259</v>
      </c>
      <c r="C48" s="7" t="s">
        <v>72</v>
      </c>
      <c r="D48" s="28" t="s">
        <v>81</v>
      </c>
      <c r="E48" s="22">
        <f t="shared" si="9"/>
        <v>17814900</v>
      </c>
      <c r="F48" s="37">
        <f>17810500+4400</f>
        <v>17814900</v>
      </c>
      <c r="G48" s="37"/>
      <c r="H48" s="37"/>
      <c r="I48" s="15"/>
      <c r="J48" s="22">
        <f t="shared" si="10"/>
        <v>0</v>
      </c>
      <c r="K48" s="37"/>
      <c r="L48" s="37"/>
      <c r="M48" s="37"/>
      <c r="N48" s="37">
        <f t="shared" si="11"/>
        <v>0</v>
      </c>
      <c r="O48" s="22"/>
      <c r="P48" s="13">
        <f t="shared" si="1"/>
        <v>17814900</v>
      </c>
      <c r="Q48" s="43"/>
      <c r="R48" s="43">
        <f t="shared" si="2"/>
        <v>17814900</v>
      </c>
      <c r="S48" s="43"/>
      <c r="T48" s="5"/>
      <c r="U48" s="8">
        <f t="shared" si="3"/>
        <v>17814900</v>
      </c>
      <c r="V48" s="8"/>
      <c r="X48" s="8"/>
    </row>
    <row r="49" spans="1:24" s="6" customFormat="1" ht="12.75">
      <c r="A49" s="7" t="s">
        <v>248</v>
      </c>
      <c r="B49" s="7" t="s">
        <v>68</v>
      </c>
      <c r="C49" s="7" t="s">
        <v>74</v>
      </c>
      <c r="D49" s="28" t="s">
        <v>11</v>
      </c>
      <c r="E49" s="22">
        <f t="shared" si="9"/>
        <v>18375600</v>
      </c>
      <c r="F49" s="37">
        <f>18341600+34000</f>
        <v>18375600</v>
      </c>
      <c r="G49" s="37"/>
      <c r="H49" s="37"/>
      <c r="I49" s="15"/>
      <c r="J49" s="22">
        <f t="shared" si="10"/>
        <v>100000</v>
      </c>
      <c r="K49" s="37">
        <v>55000</v>
      </c>
      <c r="L49" s="37"/>
      <c r="M49" s="37"/>
      <c r="N49" s="37">
        <f>O49+45000</f>
        <v>45000</v>
      </c>
      <c r="O49" s="22"/>
      <c r="P49" s="13">
        <f t="shared" si="1"/>
        <v>18475600</v>
      </c>
      <c r="Q49" s="43"/>
      <c r="R49" s="43">
        <f t="shared" si="2"/>
        <v>18475600</v>
      </c>
      <c r="S49" s="43"/>
      <c r="T49" s="5"/>
      <c r="U49" s="8">
        <f t="shared" si="3"/>
        <v>18475600</v>
      </c>
      <c r="V49" s="8"/>
      <c r="X49" s="8"/>
    </row>
    <row r="50" spans="1:24" s="6" customFormat="1" ht="26.25">
      <c r="A50" s="7" t="s">
        <v>249</v>
      </c>
      <c r="B50" s="21" t="s">
        <v>70</v>
      </c>
      <c r="C50" s="21" t="s">
        <v>75</v>
      </c>
      <c r="D50" s="12" t="s">
        <v>260</v>
      </c>
      <c r="E50" s="22">
        <f t="shared" si="9"/>
        <v>178533900</v>
      </c>
      <c r="F50" s="37">
        <f>178527700+6200</f>
        <v>178533900</v>
      </c>
      <c r="G50" s="37"/>
      <c r="H50" s="22"/>
      <c r="I50" s="14"/>
      <c r="J50" s="22">
        <f t="shared" si="10"/>
        <v>50000</v>
      </c>
      <c r="K50" s="37">
        <v>50000</v>
      </c>
      <c r="L50" s="37"/>
      <c r="M50" s="33"/>
      <c r="N50" s="37">
        <f t="shared" si="11"/>
        <v>0</v>
      </c>
      <c r="O50" s="22"/>
      <c r="P50" s="13">
        <f t="shared" si="1"/>
        <v>178583900</v>
      </c>
      <c r="Q50" s="43"/>
      <c r="R50" s="43">
        <f t="shared" si="2"/>
        <v>178583900</v>
      </c>
      <c r="S50" s="43"/>
      <c r="T50" s="5"/>
      <c r="U50" s="8">
        <f t="shared" si="3"/>
        <v>178583900</v>
      </c>
      <c r="V50" s="8"/>
      <c r="X50" s="8"/>
    </row>
    <row r="51" spans="1:24" s="6" customFormat="1" ht="26.25">
      <c r="A51" s="7" t="s">
        <v>250</v>
      </c>
      <c r="B51" s="7" t="s">
        <v>71</v>
      </c>
      <c r="C51" s="7" t="s">
        <v>77</v>
      </c>
      <c r="D51" s="28" t="s">
        <v>261</v>
      </c>
      <c r="E51" s="22">
        <f t="shared" si="9"/>
        <v>15208400</v>
      </c>
      <c r="F51" s="37">
        <f>15122400+86000</f>
        <v>15208400</v>
      </c>
      <c r="G51" s="37"/>
      <c r="H51" s="22"/>
      <c r="I51" s="14"/>
      <c r="J51" s="22">
        <f t="shared" si="10"/>
        <v>302500</v>
      </c>
      <c r="K51" s="37">
        <v>282500</v>
      </c>
      <c r="L51" s="37"/>
      <c r="M51" s="37"/>
      <c r="N51" s="37">
        <f>O51+20000</f>
        <v>20000</v>
      </c>
      <c r="O51" s="22"/>
      <c r="P51" s="13">
        <f t="shared" si="1"/>
        <v>15510900</v>
      </c>
      <c r="Q51" s="43"/>
      <c r="R51" s="43">
        <f t="shared" si="2"/>
        <v>15510900</v>
      </c>
      <c r="S51" s="43"/>
      <c r="T51" s="5"/>
      <c r="U51" s="8">
        <f t="shared" si="3"/>
        <v>15510900</v>
      </c>
      <c r="V51" s="8"/>
      <c r="X51" s="8"/>
    </row>
    <row r="52" spans="1:24" s="6" customFormat="1" ht="12.75">
      <c r="A52" s="7" t="s">
        <v>251</v>
      </c>
      <c r="B52" s="7" t="s">
        <v>73</v>
      </c>
      <c r="C52" s="7" t="s">
        <v>77</v>
      </c>
      <c r="D52" s="28" t="s">
        <v>262</v>
      </c>
      <c r="E52" s="22">
        <f t="shared" si="9"/>
        <v>10096400</v>
      </c>
      <c r="F52" s="37">
        <f>10082300+14100</f>
        <v>10096400</v>
      </c>
      <c r="G52" s="37"/>
      <c r="H52" s="22"/>
      <c r="I52" s="14"/>
      <c r="J52" s="22">
        <f t="shared" si="10"/>
        <v>4376500</v>
      </c>
      <c r="K52" s="37">
        <v>4276500</v>
      </c>
      <c r="L52" s="37"/>
      <c r="M52" s="22"/>
      <c r="N52" s="37">
        <f>O52+100000</f>
        <v>100000</v>
      </c>
      <c r="O52" s="22"/>
      <c r="P52" s="13">
        <f t="shared" si="1"/>
        <v>14472900</v>
      </c>
      <c r="Q52" s="43"/>
      <c r="R52" s="43">
        <f t="shared" si="2"/>
        <v>14472900</v>
      </c>
      <c r="S52" s="43"/>
      <c r="T52" s="5"/>
      <c r="U52" s="8">
        <f t="shared" si="3"/>
        <v>14472900</v>
      </c>
      <c r="V52" s="8"/>
      <c r="X52" s="8"/>
    </row>
    <row r="53" spans="1:24" s="6" customFormat="1" ht="39">
      <c r="A53" s="7" t="s">
        <v>264</v>
      </c>
      <c r="B53" s="7" t="s">
        <v>265</v>
      </c>
      <c r="C53" s="7" t="s">
        <v>78</v>
      </c>
      <c r="D53" s="28" t="s">
        <v>263</v>
      </c>
      <c r="E53" s="22">
        <f t="shared" si="9"/>
        <v>1495900</v>
      </c>
      <c r="F53" s="37">
        <v>1495900</v>
      </c>
      <c r="G53" s="37"/>
      <c r="H53" s="22"/>
      <c r="I53" s="14"/>
      <c r="J53" s="22">
        <f t="shared" si="10"/>
        <v>0</v>
      </c>
      <c r="K53" s="37"/>
      <c r="L53" s="37"/>
      <c r="M53" s="33"/>
      <c r="N53" s="37">
        <f t="shared" si="11"/>
        <v>0</v>
      </c>
      <c r="O53" s="37"/>
      <c r="P53" s="13">
        <f t="shared" si="1"/>
        <v>1495900</v>
      </c>
      <c r="Q53" s="43"/>
      <c r="R53" s="43">
        <f t="shared" si="2"/>
        <v>1495900</v>
      </c>
      <c r="S53" s="43"/>
      <c r="T53" s="5"/>
      <c r="U53" s="8">
        <f t="shared" si="3"/>
        <v>1495900</v>
      </c>
      <c r="V53" s="8"/>
      <c r="X53" s="8"/>
    </row>
    <row r="54" spans="1:24" s="6" customFormat="1" ht="26.25">
      <c r="A54" s="7" t="s">
        <v>252</v>
      </c>
      <c r="B54" s="7" t="s">
        <v>76</v>
      </c>
      <c r="C54" s="7" t="s">
        <v>79</v>
      </c>
      <c r="D54" s="38" t="s">
        <v>266</v>
      </c>
      <c r="E54" s="22">
        <f t="shared" si="9"/>
        <v>9626000</v>
      </c>
      <c r="F54" s="37">
        <f>9493500+132500</f>
        <v>9626000</v>
      </c>
      <c r="G54" s="37"/>
      <c r="H54" s="37"/>
      <c r="I54" s="15"/>
      <c r="J54" s="22">
        <f t="shared" si="10"/>
        <v>0</v>
      </c>
      <c r="K54" s="37"/>
      <c r="L54" s="37"/>
      <c r="M54" s="37"/>
      <c r="N54" s="37">
        <f>O54</f>
        <v>0</v>
      </c>
      <c r="O54" s="37"/>
      <c r="P54" s="13">
        <f t="shared" si="1"/>
        <v>9626000</v>
      </c>
      <c r="Q54" s="43"/>
      <c r="R54" s="43">
        <f t="shared" si="2"/>
        <v>9626000</v>
      </c>
      <c r="S54" s="43"/>
      <c r="T54" s="5"/>
      <c r="U54" s="8">
        <f t="shared" si="3"/>
        <v>9626000</v>
      </c>
      <c r="V54" s="8"/>
      <c r="X54" s="8"/>
    </row>
    <row r="55" spans="1:24" s="6" customFormat="1" ht="26.25">
      <c r="A55" s="7" t="s">
        <v>274</v>
      </c>
      <c r="B55" s="7">
        <v>2150</v>
      </c>
      <c r="C55" s="7"/>
      <c r="D55" s="38" t="s">
        <v>267</v>
      </c>
      <c r="E55" s="22">
        <f t="shared" si="9"/>
        <v>107286400</v>
      </c>
      <c r="F55" s="37">
        <f>F56+F57</f>
        <v>107286400</v>
      </c>
      <c r="G55" s="37">
        <f>G56+G57</f>
        <v>0</v>
      </c>
      <c r="H55" s="37">
        <f>H56+H57</f>
        <v>0</v>
      </c>
      <c r="I55" s="37">
        <f>I56+I57</f>
        <v>0</v>
      </c>
      <c r="J55" s="22">
        <f t="shared" si="10"/>
        <v>129200</v>
      </c>
      <c r="K55" s="37">
        <f>K56+K57</f>
        <v>129200</v>
      </c>
      <c r="L55" s="37">
        <f>L56+L57</f>
        <v>0</v>
      </c>
      <c r="M55" s="37">
        <f>M56+M57</f>
        <v>0</v>
      </c>
      <c r="N55" s="37">
        <f>N56+N57</f>
        <v>0</v>
      </c>
      <c r="O55" s="37">
        <f>O56+O57</f>
        <v>0</v>
      </c>
      <c r="P55" s="13">
        <f t="shared" si="1"/>
        <v>107415600</v>
      </c>
      <c r="Q55" s="43"/>
      <c r="R55" s="43">
        <f t="shared" si="2"/>
        <v>107415600</v>
      </c>
      <c r="S55" s="43"/>
      <c r="T55" s="5"/>
      <c r="U55" s="8">
        <f t="shared" si="3"/>
        <v>107415600</v>
      </c>
      <c r="V55" s="8"/>
      <c r="X55" s="8"/>
    </row>
    <row r="56" spans="1:24" s="53" customFormat="1" ht="26.25">
      <c r="A56" s="46" t="s">
        <v>271</v>
      </c>
      <c r="B56" s="46" t="s">
        <v>270</v>
      </c>
      <c r="C56" s="46" t="s">
        <v>79</v>
      </c>
      <c r="D56" s="57" t="s">
        <v>268</v>
      </c>
      <c r="E56" s="48">
        <f t="shared" si="9"/>
        <v>39110800</v>
      </c>
      <c r="F56" s="49">
        <f>39045200+65600</f>
        <v>39110800</v>
      </c>
      <c r="G56" s="49"/>
      <c r="H56" s="49"/>
      <c r="I56" s="50"/>
      <c r="J56" s="48">
        <f t="shared" si="10"/>
        <v>129200</v>
      </c>
      <c r="K56" s="49">
        <v>129200</v>
      </c>
      <c r="L56" s="49"/>
      <c r="M56" s="49"/>
      <c r="N56" s="49">
        <f>O56</f>
        <v>0</v>
      </c>
      <c r="O56" s="48"/>
      <c r="P56" s="13">
        <f t="shared" si="1"/>
        <v>39240000</v>
      </c>
      <c r="Q56" s="51"/>
      <c r="R56" s="51">
        <f t="shared" si="2"/>
        <v>39240000</v>
      </c>
      <c r="S56" s="51"/>
      <c r="T56" s="61"/>
      <c r="U56" s="52">
        <f t="shared" si="3"/>
        <v>39240000</v>
      </c>
      <c r="V56" s="52"/>
      <c r="X56" s="52"/>
    </row>
    <row r="57" spans="1:24" s="53" customFormat="1" ht="26.25">
      <c r="A57" s="46" t="s">
        <v>273</v>
      </c>
      <c r="B57" s="46" t="s">
        <v>272</v>
      </c>
      <c r="C57" s="46" t="s">
        <v>79</v>
      </c>
      <c r="D57" s="57" t="s">
        <v>269</v>
      </c>
      <c r="E57" s="48">
        <f t="shared" si="9"/>
        <v>68175600</v>
      </c>
      <c r="F57" s="49">
        <v>68175600</v>
      </c>
      <c r="G57" s="49"/>
      <c r="H57" s="49"/>
      <c r="I57" s="49"/>
      <c r="J57" s="48">
        <f t="shared" si="10"/>
        <v>0</v>
      </c>
      <c r="K57" s="49"/>
      <c r="L57" s="49"/>
      <c r="M57" s="49"/>
      <c r="N57" s="49">
        <f>O57</f>
        <v>0</v>
      </c>
      <c r="O57" s="49"/>
      <c r="P57" s="13">
        <f t="shared" si="1"/>
        <v>68175600</v>
      </c>
      <c r="Q57" s="51"/>
      <c r="R57" s="51">
        <f t="shared" si="2"/>
        <v>68175600</v>
      </c>
      <c r="S57" s="51"/>
      <c r="T57" s="61"/>
      <c r="U57" s="52">
        <f t="shared" si="3"/>
        <v>68175600</v>
      </c>
      <c r="V57" s="52"/>
      <c r="X57" s="52"/>
    </row>
    <row r="58" spans="1:24" s="6" customFormat="1" ht="19.5" customHeight="1">
      <c r="A58" s="7" t="s">
        <v>276</v>
      </c>
      <c r="B58" s="7" t="s">
        <v>275</v>
      </c>
      <c r="C58" s="7" t="s">
        <v>80</v>
      </c>
      <c r="D58" s="28" t="s">
        <v>194</v>
      </c>
      <c r="E58" s="39">
        <f t="shared" si="9"/>
        <v>1243700</v>
      </c>
      <c r="F58" s="40">
        <v>1243700</v>
      </c>
      <c r="G58" s="40">
        <v>950660</v>
      </c>
      <c r="H58" s="40">
        <v>56440</v>
      </c>
      <c r="I58" s="41"/>
      <c r="J58" s="39">
        <f t="shared" si="10"/>
        <v>0</v>
      </c>
      <c r="K58" s="40"/>
      <c r="L58" s="40"/>
      <c r="M58" s="40"/>
      <c r="N58" s="37">
        <f>O58</f>
        <v>0</v>
      </c>
      <c r="O58" s="40"/>
      <c r="P58" s="13">
        <f t="shared" si="1"/>
        <v>1243700</v>
      </c>
      <c r="Q58" s="43"/>
      <c r="R58" s="43">
        <f t="shared" si="2"/>
        <v>1243700</v>
      </c>
      <c r="S58" s="43"/>
      <c r="T58" s="5"/>
      <c r="U58" s="8">
        <f t="shared" si="3"/>
        <v>1243700</v>
      </c>
      <c r="V58" s="8"/>
      <c r="X58" s="8"/>
    </row>
    <row r="59" spans="1:24" s="58" customFormat="1" ht="52.5">
      <c r="A59" s="7" t="s">
        <v>208</v>
      </c>
      <c r="B59" s="7" t="s">
        <v>206</v>
      </c>
      <c r="C59" s="7" t="s">
        <v>27</v>
      </c>
      <c r="D59" s="78" t="s">
        <v>207</v>
      </c>
      <c r="E59" s="79">
        <f t="shared" si="9"/>
        <v>0</v>
      </c>
      <c r="F59" s="79"/>
      <c r="G59" s="79"/>
      <c r="H59" s="79"/>
      <c r="I59" s="80"/>
      <c r="J59" s="79">
        <f t="shared" si="10"/>
        <v>9207700</v>
      </c>
      <c r="K59" s="79"/>
      <c r="L59" s="79"/>
      <c r="M59" s="79"/>
      <c r="N59" s="37">
        <f>O59+9207700</f>
        <v>9207700</v>
      </c>
      <c r="O59" s="79"/>
      <c r="P59" s="13">
        <f t="shared" si="1"/>
        <v>9207700</v>
      </c>
      <c r="Q59" s="68"/>
      <c r="R59" s="68">
        <f t="shared" si="2"/>
        <v>9207700</v>
      </c>
      <c r="S59" s="68"/>
      <c r="T59" s="69"/>
      <c r="U59" s="8">
        <f t="shared" si="3"/>
        <v>9207700</v>
      </c>
      <c r="V59" s="70"/>
      <c r="X59" s="70"/>
    </row>
    <row r="60" spans="1:24" s="9" customFormat="1" ht="39">
      <c r="A60" s="4" t="s">
        <v>14</v>
      </c>
      <c r="B60" s="20"/>
      <c r="C60" s="20"/>
      <c r="D60" s="10" t="s">
        <v>59</v>
      </c>
      <c r="E60" s="33">
        <f t="shared" si="9"/>
        <v>130883700</v>
      </c>
      <c r="F60" s="33">
        <f>F61</f>
        <v>130883700</v>
      </c>
      <c r="G60" s="33">
        <f>G61</f>
        <v>66740100</v>
      </c>
      <c r="H60" s="33">
        <f>H61</f>
        <v>14722400</v>
      </c>
      <c r="I60" s="33">
        <f>I61</f>
        <v>0</v>
      </c>
      <c r="J60" s="33">
        <f t="shared" si="10"/>
        <v>32519400</v>
      </c>
      <c r="K60" s="33">
        <f>K61</f>
        <v>31368400</v>
      </c>
      <c r="L60" s="33">
        <f>L61</f>
        <v>0</v>
      </c>
      <c r="M60" s="33">
        <f>M61</f>
        <v>53000</v>
      </c>
      <c r="N60" s="33">
        <f>N61</f>
        <v>1151000</v>
      </c>
      <c r="O60" s="33">
        <f>O61</f>
        <v>0</v>
      </c>
      <c r="P60" s="13">
        <f t="shared" si="1"/>
        <v>163403100</v>
      </c>
      <c r="Q60" s="43">
        <v>140746900</v>
      </c>
      <c r="R60" s="43">
        <f t="shared" si="2"/>
        <v>22656200</v>
      </c>
      <c r="S60" s="43"/>
      <c r="T60" s="5">
        <v>150925934.93</v>
      </c>
      <c r="U60" s="8">
        <f t="shared" si="3"/>
        <v>12477165.069999993</v>
      </c>
      <c r="V60" s="8"/>
      <c r="X60" s="8"/>
    </row>
    <row r="61" spans="1:24" s="9" customFormat="1" ht="39">
      <c r="A61" s="4" t="s">
        <v>15</v>
      </c>
      <c r="B61" s="20"/>
      <c r="C61" s="20"/>
      <c r="D61" s="10" t="s">
        <v>56</v>
      </c>
      <c r="E61" s="33">
        <f t="shared" si="9"/>
        <v>130883700</v>
      </c>
      <c r="F61" s="33">
        <f>F62+F65+F67+F68</f>
        <v>130883700</v>
      </c>
      <c r="G61" s="33">
        <f>G62+G65+G67+G68</f>
        <v>66740100</v>
      </c>
      <c r="H61" s="33">
        <f>H62+H65+H67+H68</f>
        <v>14722400</v>
      </c>
      <c r="I61" s="33">
        <f>I62+I65+I67+I68</f>
        <v>0</v>
      </c>
      <c r="J61" s="33">
        <f t="shared" si="10"/>
        <v>32519400</v>
      </c>
      <c r="K61" s="33">
        <f>K62+K65+K67+K68</f>
        <v>31368400</v>
      </c>
      <c r="L61" s="33">
        <f>L62+L65+L67+L68</f>
        <v>0</v>
      </c>
      <c r="M61" s="33">
        <f>M62+M65+M67+M68</f>
        <v>53000</v>
      </c>
      <c r="N61" s="33">
        <f>N62+N65+N67+N68</f>
        <v>1151000</v>
      </c>
      <c r="O61" s="33">
        <f>O62+O65+O67+O68</f>
        <v>0</v>
      </c>
      <c r="P61" s="13">
        <f t="shared" si="1"/>
        <v>163403100</v>
      </c>
      <c r="Q61" s="43"/>
      <c r="R61" s="43">
        <f t="shared" si="2"/>
        <v>163403100</v>
      </c>
      <c r="S61" s="43"/>
      <c r="T61" s="5"/>
      <c r="U61" s="8">
        <f t="shared" si="3"/>
        <v>163403100</v>
      </c>
      <c r="V61" s="8"/>
      <c r="X61" s="8"/>
    </row>
    <row r="62" spans="1:24" s="6" customFormat="1" ht="66">
      <c r="A62" s="7" t="s">
        <v>229</v>
      </c>
      <c r="B62" s="7" t="s">
        <v>111</v>
      </c>
      <c r="C62" s="7"/>
      <c r="D62" s="30" t="s">
        <v>222</v>
      </c>
      <c r="E62" s="22">
        <f t="shared" si="9"/>
        <v>114363900</v>
      </c>
      <c r="F62" s="22">
        <f>F63+F64</f>
        <v>114363900</v>
      </c>
      <c r="G62" s="22">
        <f>G63+G64</f>
        <v>63949100</v>
      </c>
      <c r="H62" s="22">
        <f>H63+H64</f>
        <v>14586200</v>
      </c>
      <c r="I62" s="22">
        <f>I63+I64</f>
        <v>0</v>
      </c>
      <c r="J62" s="22">
        <f t="shared" si="10"/>
        <v>32519400</v>
      </c>
      <c r="K62" s="22">
        <f>K63+K64</f>
        <v>31368400</v>
      </c>
      <c r="L62" s="22">
        <f>L63+L64</f>
        <v>0</v>
      </c>
      <c r="M62" s="22">
        <f>M63+M64</f>
        <v>53000</v>
      </c>
      <c r="N62" s="22">
        <f>N63+N64</f>
        <v>1151000</v>
      </c>
      <c r="O62" s="22">
        <f>O63+O64</f>
        <v>0</v>
      </c>
      <c r="P62" s="13">
        <f t="shared" si="1"/>
        <v>146883300</v>
      </c>
      <c r="Q62" s="43"/>
      <c r="R62" s="43">
        <f t="shared" si="2"/>
        <v>146883300</v>
      </c>
      <c r="S62" s="43"/>
      <c r="T62" s="5"/>
      <c r="U62" s="8">
        <f t="shared" si="3"/>
        <v>146883300</v>
      </c>
      <c r="V62" s="8"/>
      <c r="X62" s="8"/>
    </row>
    <row r="63" spans="1:24" s="53" customFormat="1" ht="64.5" customHeight="1">
      <c r="A63" s="46" t="s">
        <v>230</v>
      </c>
      <c r="B63" s="46">
        <v>3101</v>
      </c>
      <c r="C63" s="46" t="s">
        <v>90</v>
      </c>
      <c r="D63" s="47" t="s">
        <v>20</v>
      </c>
      <c r="E63" s="48">
        <f t="shared" si="9"/>
        <v>6809800</v>
      </c>
      <c r="F63" s="49">
        <v>6809800</v>
      </c>
      <c r="G63" s="49">
        <v>3996200</v>
      </c>
      <c r="H63" s="48">
        <v>1053900</v>
      </c>
      <c r="I63" s="54"/>
      <c r="J63" s="48">
        <f t="shared" si="10"/>
        <v>1386000</v>
      </c>
      <c r="K63" s="49">
        <v>1306000</v>
      </c>
      <c r="L63" s="49"/>
      <c r="M63" s="48">
        <v>5000</v>
      </c>
      <c r="N63" s="49">
        <f>O63+80000</f>
        <v>80000</v>
      </c>
      <c r="O63" s="48"/>
      <c r="P63" s="13">
        <f t="shared" si="1"/>
        <v>8195800</v>
      </c>
      <c r="Q63" s="51"/>
      <c r="R63" s="43">
        <f t="shared" si="2"/>
        <v>8195800</v>
      </c>
      <c r="S63" s="51"/>
      <c r="T63" s="61"/>
      <c r="U63" s="8">
        <f t="shared" si="3"/>
        <v>8195800</v>
      </c>
      <c r="V63" s="52"/>
      <c r="X63" s="52"/>
    </row>
    <row r="64" spans="1:24" s="53" customFormat="1" ht="109.5" customHeight="1">
      <c r="A64" s="46" t="s">
        <v>231</v>
      </c>
      <c r="B64" s="46">
        <v>3102</v>
      </c>
      <c r="C64" s="46" t="s">
        <v>91</v>
      </c>
      <c r="D64" s="47" t="s">
        <v>221</v>
      </c>
      <c r="E64" s="48">
        <f t="shared" si="9"/>
        <v>107554100</v>
      </c>
      <c r="F64" s="49">
        <v>107554100</v>
      </c>
      <c r="G64" s="49">
        <v>59952900</v>
      </c>
      <c r="H64" s="48">
        <v>13532300</v>
      </c>
      <c r="I64" s="54"/>
      <c r="J64" s="48">
        <f t="shared" si="10"/>
        <v>31133400</v>
      </c>
      <c r="K64" s="49">
        <v>30062400</v>
      </c>
      <c r="L64" s="49"/>
      <c r="M64" s="48">
        <v>48000</v>
      </c>
      <c r="N64" s="49">
        <f>O64+1071000</f>
        <v>1071000</v>
      </c>
      <c r="O64" s="48"/>
      <c r="P64" s="13">
        <f t="shared" si="1"/>
        <v>138687500</v>
      </c>
      <c r="Q64" s="51"/>
      <c r="R64" s="43">
        <f t="shared" si="2"/>
        <v>138687500</v>
      </c>
      <c r="S64" s="51"/>
      <c r="T64" s="61"/>
      <c r="U64" s="8">
        <f t="shared" si="3"/>
        <v>138687500</v>
      </c>
      <c r="V64" s="52"/>
      <c r="X64" s="52"/>
    </row>
    <row r="65" spans="1:24" s="6" customFormat="1" ht="26.25">
      <c r="A65" s="7" t="s">
        <v>232</v>
      </c>
      <c r="B65" s="7" t="s">
        <v>223</v>
      </c>
      <c r="C65" s="7"/>
      <c r="D65" s="30" t="s">
        <v>112</v>
      </c>
      <c r="E65" s="22">
        <f t="shared" si="9"/>
        <v>400000</v>
      </c>
      <c r="F65" s="37">
        <f>F66</f>
        <v>400000</v>
      </c>
      <c r="G65" s="37">
        <f>G66</f>
        <v>0</v>
      </c>
      <c r="H65" s="37">
        <f>H66</f>
        <v>0</v>
      </c>
      <c r="I65" s="37">
        <f>I66</f>
        <v>0</v>
      </c>
      <c r="J65" s="22">
        <f t="shared" si="10"/>
        <v>0</v>
      </c>
      <c r="K65" s="37">
        <f>K66</f>
        <v>0</v>
      </c>
      <c r="L65" s="37">
        <f>L66</f>
        <v>0</v>
      </c>
      <c r="M65" s="37">
        <f>M66</f>
        <v>0</v>
      </c>
      <c r="N65" s="37">
        <f>N66</f>
        <v>0</v>
      </c>
      <c r="O65" s="37">
        <f>O66</f>
        <v>0</v>
      </c>
      <c r="P65" s="13">
        <f t="shared" si="1"/>
        <v>400000</v>
      </c>
      <c r="Q65" s="43"/>
      <c r="R65" s="43">
        <f t="shared" si="2"/>
        <v>400000</v>
      </c>
      <c r="S65" s="43"/>
      <c r="T65" s="5"/>
      <c r="U65" s="8">
        <f t="shared" si="3"/>
        <v>400000</v>
      </c>
      <c r="V65" s="8"/>
      <c r="X65" s="8"/>
    </row>
    <row r="66" spans="1:24" s="53" customFormat="1" ht="57.75" customHeight="1">
      <c r="A66" s="46" t="s">
        <v>233</v>
      </c>
      <c r="B66" s="46" t="s">
        <v>224</v>
      </c>
      <c r="C66" s="46" t="s">
        <v>92</v>
      </c>
      <c r="D66" s="47" t="s">
        <v>313</v>
      </c>
      <c r="E66" s="48">
        <f t="shared" si="9"/>
        <v>400000</v>
      </c>
      <c r="F66" s="49">
        <v>400000</v>
      </c>
      <c r="G66" s="49"/>
      <c r="H66" s="49"/>
      <c r="I66" s="50"/>
      <c r="J66" s="48">
        <f t="shared" si="10"/>
        <v>0</v>
      </c>
      <c r="K66" s="49"/>
      <c r="L66" s="49"/>
      <c r="M66" s="49"/>
      <c r="N66" s="49">
        <f>O66</f>
        <v>0</v>
      </c>
      <c r="O66" s="48"/>
      <c r="P66" s="13">
        <f t="shared" si="1"/>
        <v>400000</v>
      </c>
      <c r="Q66" s="51"/>
      <c r="R66" s="43">
        <f t="shared" si="2"/>
        <v>400000</v>
      </c>
      <c r="S66" s="51"/>
      <c r="T66" s="61"/>
      <c r="U66" s="8">
        <f t="shared" si="3"/>
        <v>400000</v>
      </c>
      <c r="V66" s="52"/>
      <c r="X66" s="52"/>
    </row>
    <row r="67" spans="1:24" s="6" customFormat="1" ht="39">
      <c r="A67" s="7" t="s">
        <v>296</v>
      </c>
      <c r="B67" s="7" t="s">
        <v>297</v>
      </c>
      <c r="C67" s="7" t="s">
        <v>36</v>
      </c>
      <c r="D67" s="30" t="s">
        <v>225</v>
      </c>
      <c r="E67" s="22">
        <f t="shared" si="9"/>
        <v>3052000</v>
      </c>
      <c r="F67" s="37">
        <v>3052000</v>
      </c>
      <c r="G67" s="37">
        <v>2178300</v>
      </c>
      <c r="H67" s="37">
        <v>108800</v>
      </c>
      <c r="I67" s="15"/>
      <c r="J67" s="22">
        <f t="shared" si="10"/>
        <v>0</v>
      </c>
      <c r="K67" s="37"/>
      <c r="L67" s="37"/>
      <c r="M67" s="37"/>
      <c r="N67" s="37">
        <f>O67</f>
        <v>0</v>
      </c>
      <c r="O67" s="22"/>
      <c r="P67" s="13">
        <f t="shared" si="1"/>
        <v>3052000</v>
      </c>
      <c r="Q67" s="43"/>
      <c r="R67" s="43">
        <f t="shared" si="2"/>
        <v>3052000</v>
      </c>
      <c r="S67" s="43"/>
      <c r="T67" s="5"/>
      <c r="U67" s="8">
        <f t="shared" si="3"/>
        <v>3052000</v>
      </c>
      <c r="V67" s="8"/>
      <c r="X67" s="8"/>
    </row>
    <row r="68" spans="1:24" s="6" customFormat="1" ht="21" customHeight="1">
      <c r="A68" s="7" t="s">
        <v>238</v>
      </c>
      <c r="B68" s="7">
        <v>3240</v>
      </c>
      <c r="C68" s="7"/>
      <c r="D68" s="30" t="s">
        <v>226</v>
      </c>
      <c r="E68" s="22">
        <f t="shared" si="9"/>
        <v>13067800</v>
      </c>
      <c r="F68" s="37">
        <f>F69+F70</f>
        <v>13067800</v>
      </c>
      <c r="G68" s="37">
        <f>G69+G70</f>
        <v>612700</v>
      </c>
      <c r="H68" s="37">
        <f>H69+H70</f>
        <v>27400</v>
      </c>
      <c r="I68" s="37">
        <f>I69+I70</f>
        <v>0</v>
      </c>
      <c r="J68" s="22">
        <f t="shared" si="10"/>
        <v>0</v>
      </c>
      <c r="K68" s="37">
        <f>K69+K70</f>
        <v>0</v>
      </c>
      <c r="L68" s="37">
        <f>L69+L70</f>
        <v>0</v>
      </c>
      <c r="M68" s="37">
        <f>M69+M70</f>
        <v>0</v>
      </c>
      <c r="N68" s="37">
        <f>N69+N70</f>
        <v>0</v>
      </c>
      <c r="O68" s="37">
        <f>O69+O70</f>
        <v>0</v>
      </c>
      <c r="P68" s="13">
        <f t="shared" si="1"/>
        <v>13067800</v>
      </c>
      <c r="Q68" s="43"/>
      <c r="R68" s="43">
        <f t="shared" si="2"/>
        <v>13067800</v>
      </c>
      <c r="S68" s="43"/>
      <c r="T68" s="5"/>
      <c r="U68" s="8">
        <f t="shared" si="3"/>
        <v>13067800</v>
      </c>
      <c r="V68" s="8"/>
      <c r="X68" s="8"/>
    </row>
    <row r="69" spans="1:24" s="53" customFormat="1" ht="44.25" customHeight="1">
      <c r="A69" s="46" t="s">
        <v>235</v>
      </c>
      <c r="B69" s="46" t="s">
        <v>234</v>
      </c>
      <c r="C69" s="46" t="s">
        <v>36</v>
      </c>
      <c r="D69" s="47" t="s">
        <v>227</v>
      </c>
      <c r="E69" s="48">
        <f t="shared" si="9"/>
        <v>798800</v>
      </c>
      <c r="F69" s="49">
        <v>798800</v>
      </c>
      <c r="G69" s="49">
        <v>612700</v>
      </c>
      <c r="H69" s="49">
        <v>27400</v>
      </c>
      <c r="I69" s="50"/>
      <c r="J69" s="48">
        <f t="shared" si="10"/>
        <v>0</v>
      </c>
      <c r="K69" s="49"/>
      <c r="L69" s="49"/>
      <c r="M69" s="49"/>
      <c r="N69" s="49">
        <f>O69</f>
        <v>0</v>
      </c>
      <c r="O69" s="48"/>
      <c r="P69" s="13">
        <f t="shared" si="1"/>
        <v>798800</v>
      </c>
      <c r="Q69" s="51"/>
      <c r="R69" s="51"/>
      <c r="S69" s="51"/>
      <c r="T69" s="61"/>
      <c r="U69" s="52"/>
      <c r="V69" s="52"/>
      <c r="X69" s="52"/>
    </row>
    <row r="70" spans="1:24" s="53" customFormat="1" ht="33" customHeight="1">
      <c r="A70" s="46" t="s">
        <v>237</v>
      </c>
      <c r="B70" s="46" t="s">
        <v>236</v>
      </c>
      <c r="C70" s="46" t="s">
        <v>36</v>
      </c>
      <c r="D70" s="47" t="s">
        <v>228</v>
      </c>
      <c r="E70" s="48">
        <f t="shared" si="9"/>
        <v>12269000</v>
      </c>
      <c r="F70" s="49">
        <v>12269000</v>
      </c>
      <c r="G70" s="49"/>
      <c r="H70" s="49"/>
      <c r="I70" s="50"/>
      <c r="J70" s="48">
        <f t="shared" si="10"/>
        <v>0</v>
      </c>
      <c r="K70" s="49"/>
      <c r="L70" s="49"/>
      <c r="M70" s="49"/>
      <c r="N70" s="49">
        <f>O70</f>
        <v>0</v>
      </c>
      <c r="O70" s="48"/>
      <c r="P70" s="13">
        <f t="shared" si="1"/>
        <v>12269000</v>
      </c>
      <c r="Q70" s="51"/>
      <c r="R70" s="51"/>
      <c r="S70" s="51"/>
      <c r="T70" s="61"/>
      <c r="U70" s="52"/>
      <c r="V70" s="52"/>
      <c r="X70" s="52"/>
    </row>
    <row r="71" spans="1:24" s="9" customFormat="1" ht="26.25">
      <c r="A71" s="2">
        <v>1100000</v>
      </c>
      <c r="B71" s="4"/>
      <c r="C71" s="4"/>
      <c r="D71" s="31" t="s">
        <v>101</v>
      </c>
      <c r="E71" s="33">
        <f t="shared" si="9"/>
        <v>32382100</v>
      </c>
      <c r="F71" s="33">
        <f>F72</f>
        <v>32382100</v>
      </c>
      <c r="G71" s="33">
        <f>G72</f>
        <v>10922200</v>
      </c>
      <c r="H71" s="33">
        <f>H72</f>
        <v>1042000</v>
      </c>
      <c r="I71" s="33">
        <f>I72</f>
        <v>0</v>
      </c>
      <c r="J71" s="33">
        <f t="shared" si="10"/>
        <v>205000</v>
      </c>
      <c r="K71" s="33">
        <f>K72</f>
        <v>205000</v>
      </c>
      <c r="L71" s="33">
        <f>L72</f>
        <v>0</v>
      </c>
      <c r="M71" s="33">
        <f>M72</f>
        <v>0</v>
      </c>
      <c r="N71" s="33">
        <f>N72</f>
        <v>0</v>
      </c>
      <c r="O71" s="33">
        <f>O72</f>
        <v>0</v>
      </c>
      <c r="P71" s="13">
        <f t="shared" si="1"/>
        <v>32587100</v>
      </c>
      <c r="Q71" s="43">
        <v>27528100</v>
      </c>
      <c r="R71" s="43">
        <f t="shared" si="2"/>
        <v>5059000</v>
      </c>
      <c r="S71" s="43"/>
      <c r="T71" s="5">
        <v>27805100</v>
      </c>
      <c r="U71" s="8">
        <f t="shared" si="3"/>
        <v>4782000</v>
      </c>
      <c r="V71" s="8"/>
      <c r="X71" s="8"/>
    </row>
    <row r="72" spans="1:24" s="9" customFormat="1" ht="26.25">
      <c r="A72" s="2">
        <v>1110000</v>
      </c>
      <c r="B72" s="4"/>
      <c r="C72" s="4"/>
      <c r="D72" s="31" t="s">
        <v>102</v>
      </c>
      <c r="E72" s="33">
        <f t="shared" si="9"/>
        <v>32382100</v>
      </c>
      <c r="F72" s="33">
        <f>F73+F75+F77+F79+F81+F84+F87+F91+F93</f>
        <v>32382100</v>
      </c>
      <c r="G72" s="33">
        <f>G73+G75+G77+G79+G81+G84+G87+G91+G93</f>
        <v>10922200</v>
      </c>
      <c r="H72" s="33">
        <f>H73+H75+H77+H79+H81+H84+H87+H91+H93</f>
        <v>1042000</v>
      </c>
      <c r="I72" s="33">
        <f>I73+I75+I77+I79+I81+I84+I87+I91+I93</f>
        <v>0</v>
      </c>
      <c r="J72" s="33">
        <f t="shared" si="10"/>
        <v>205000</v>
      </c>
      <c r="K72" s="33">
        <f>K73+K75+K77+K79+K81+K84+K87+K91+K93</f>
        <v>205000</v>
      </c>
      <c r="L72" s="33">
        <f>L73+L75+L77+L79+L81+L84+L87+L91+L93</f>
        <v>0</v>
      </c>
      <c r="M72" s="33">
        <f>M73+M75+M77+M79+M81+M84+M87+M91+M93</f>
        <v>0</v>
      </c>
      <c r="N72" s="33">
        <f>N73+N75+N77+N79+N81+N84+N87+N91+N93</f>
        <v>0</v>
      </c>
      <c r="O72" s="33">
        <f>O73+O75+O77+O79+O81+O84+O87+O91+O93</f>
        <v>0</v>
      </c>
      <c r="P72" s="13">
        <f t="shared" si="1"/>
        <v>32587100</v>
      </c>
      <c r="Q72" s="43"/>
      <c r="R72" s="43">
        <f t="shared" si="2"/>
        <v>32587100</v>
      </c>
      <c r="S72" s="43"/>
      <c r="T72" s="5"/>
      <c r="U72" s="8">
        <f t="shared" si="3"/>
        <v>32587100</v>
      </c>
      <c r="V72" s="8"/>
      <c r="X72" s="8"/>
    </row>
    <row r="73" spans="1:24" s="6" customFormat="1" ht="26.25">
      <c r="A73" s="3">
        <v>1113110</v>
      </c>
      <c r="B73" s="7" t="s">
        <v>113</v>
      </c>
      <c r="C73" s="7"/>
      <c r="D73" s="28" t="s">
        <v>114</v>
      </c>
      <c r="E73" s="22">
        <f t="shared" si="9"/>
        <v>700980</v>
      </c>
      <c r="F73" s="22">
        <f>F74</f>
        <v>700980</v>
      </c>
      <c r="G73" s="22">
        <f>G74</f>
        <v>416200</v>
      </c>
      <c r="H73" s="22">
        <f>H74</f>
        <v>62290</v>
      </c>
      <c r="I73" s="22">
        <f>I74</f>
        <v>0</v>
      </c>
      <c r="J73" s="22">
        <f t="shared" si="10"/>
        <v>0</v>
      </c>
      <c r="K73" s="22">
        <f>K74</f>
        <v>0</v>
      </c>
      <c r="L73" s="22">
        <f>L74</f>
        <v>0</v>
      </c>
      <c r="M73" s="22">
        <f>M74</f>
        <v>0</v>
      </c>
      <c r="N73" s="22">
        <f>N74</f>
        <v>0</v>
      </c>
      <c r="O73" s="22">
        <f>O74</f>
        <v>0</v>
      </c>
      <c r="P73" s="13">
        <f t="shared" si="1"/>
        <v>700980</v>
      </c>
      <c r="Q73" s="55"/>
      <c r="R73" s="43">
        <f t="shared" si="2"/>
        <v>700980</v>
      </c>
      <c r="S73" s="55"/>
      <c r="T73" s="5"/>
      <c r="U73" s="8">
        <f t="shared" si="3"/>
        <v>700980</v>
      </c>
      <c r="V73" s="5"/>
      <c r="X73" s="5"/>
    </row>
    <row r="74" spans="1:24" s="53" customFormat="1" ht="39">
      <c r="A74" s="45">
        <v>1113111</v>
      </c>
      <c r="B74" s="46" t="s">
        <v>93</v>
      </c>
      <c r="C74" s="46" t="s">
        <v>28</v>
      </c>
      <c r="D74" s="47" t="s">
        <v>12</v>
      </c>
      <c r="E74" s="48">
        <f t="shared" si="9"/>
        <v>700980</v>
      </c>
      <c r="F74" s="48">
        <v>700980</v>
      </c>
      <c r="G74" s="48">
        <v>416200</v>
      </c>
      <c r="H74" s="48">
        <v>62290</v>
      </c>
      <c r="I74" s="54"/>
      <c r="J74" s="48">
        <f t="shared" si="10"/>
        <v>0</v>
      </c>
      <c r="K74" s="48"/>
      <c r="L74" s="48"/>
      <c r="M74" s="48"/>
      <c r="N74" s="48">
        <f>O74</f>
        <v>0</v>
      </c>
      <c r="O74" s="48"/>
      <c r="P74" s="13">
        <f t="shared" si="1"/>
        <v>700980</v>
      </c>
      <c r="Q74" s="51"/>
      <c r="R74" s="43">
        <f t="shared" si="2"/>
        <v>700980</v>
      </c>
      <c r="S74" s="51"/>
      <c r="T74" s="61"/>
      <c r="U74" s="8">
        <f t="shared" si="3"/>
        <v>700980</v>
      </c>
      <c r="V74" s="52"/>
      <c r="X74" s="52"/>
    </row>
    <row r="75" spans="1:24" s="6" customFormat="1" ht="27.75" customHeight="1">
      <c r="A75" s="3">
        <v>1113120</v>
      </c>
      <c r="B75" s="7">
        <v>3120</v>
      </c>
      <c r="C75" s="7"/>
      <c r="D75" s="28" t="s">
        <v>116</v>
      </c>
      <c r="E75" s="22">
        <f t="shared" si="9"/>
        <v>1390960</v>
      </c>
      <c r="F75" s="22">
        <f>F76</f>
        <v>1390960</v>
      </c>
      <c r="G75" s="22">
        <f>G76</f>
        <v>948100</v>
      </c>
      <c r="H75" s="22">
        <f>H76</f>
        <v>65360</v>
      </c>
      <c r="I75" s="22">
        <f>I76</f>
        <v>0</v>
      </c>
      <c r="J75" s="22">
        <f t="shared" si="10"/>
        <v>0</v>
      </c>
      <c r="K75" s="22">
        <f>K76</f>
        <v>0</v>
      </c>
      <c r="L75" s="22">
        <f>L76</f>
        <v>0</v>
      </c>
      <c r="M75" s="22">
        <f>M76</f>
        <v>0</v>
      </c>
      <c r="N75" s="22">
        <f>N76</f>
        <v>0</v>
      </c>
      <c r="O75" s="22">
        <f>O76</f>
        <v>0</v>
      </c>
      <c r="P75" s="13">
        <f aca="true" t="shared" si="12" ref="P75:P126">E75+J75</f>
        <v>1390960</v>
      </c>
      <c r="Q75" s="43"/>
      <c r="R75" s="43"/>
      <c r="S75" s="43"/>
      <c r="T75" s="5"/>
      <c r="U75" s="8"/>
      <c r="V75" s="8"/>
      <c r="X75" s="8"/>
    </row>
    <row r="76" spans="1:24" s="53" customFormat="1" ht="42.75" customHeight="1">
      <c r="A76" s="45">
        <v>1113121</v>
      </c>
      <c r="B76" s="46">
        <v>3121</v>
      </c>
      <c r="C76" s="46" t="s">
        <v>28</v>
      </c>
      <c r="D76" s="47" t="s">
        <v>283</v>
      </c>
      <c r="E76" s="48">
        <f t="shared" si="9"/>
        <v>1390960</v>
      </c>
      <c r="F76" s="48">
        <v>1390960</v>
      </c>
      <c r="G76" s="48">
        <v>948100</v>
      </c>
      <c r="H76" s="48">
        <v>65360</v>
      </c>
      <c r="I76" s="54"/>
      <c r="J76" s="48">
        <f t="shared" si="10"/>
        <v>0</v>
      </c>
      <c r="K76" s="48"/>
      <c r="L76" s="48"/>
      <c r="M76" s="48"/>
      <c r="N76" s="48">
        <f>O76</f>
        <v>0</v>
      </c>
      <c r="O76" s="48"/>
      <c r="P76" s="13">
        <f t="shared" si="12"/>
        <v>1390960</v>
      </c>
      <c r="Q76" s="51"/>
      <c r="R76" s="51"/>
      <c r="S76" s="51"/>
      <c r="T76" s="61"/>
      <c r="U76" s="52"/>
      <c r="V76" s="52"/>
      <c r="X76" s="52"/>
    </row>
    <row r="77" spans="1:24" s="6" customFormat="1" ht="26.25">
      <c r="A77" s="3">
        <v>1113130</v>
      </c>
      <c r="B77" s="7" t="s">
        <v>115</v>
      </c>
      <c r="C77" s="7"/>
      <c r="D77" s="30" t="s">
        <v>135</v>
      </c>
      <c r="E77" s="22">
        <f t="shared" si="9"/>
        <v>217150</v>
      </c>
      <c r="F77" s="22">
        <f>F78</f>
        <v>217150</v>
      </c>
      <c r="G77" s="22">
        <f>G78</f>
        <v>0</v>
      </c>
      <c r="H77" s="22">
        <f>H78</f>
        <v>0</v>
      </c>
      <c r="I77" s="22">
        <f>I78</f>
        <v>0</v>
      </c>
      <c r="J77" s="22">
        <f t="shared" si="10"/>
        <v>0</v>
      </c>
      <c r="K77" s="22">
        <f>K78</f>
        <v>0</v>
      </c>
      <c r="L77" s="22">
        <f>L78</f>
        <v>0</v>
      </c>
      <c r="M77" s="22">
        <f>M78</f>
        <v>0</v>
      </c>
      <c r="N77" s="22">
        <f>N78</f>
        <v>0</v>
      </c>
      <c r="O77" s="22">
        <f>O78</f>
        <v>0</v>
      </c>
      <c r="P77" s="13">
        <f t="shared" si="12"/>
        <v>217150</v>
      </c>
      <c r="Q77" s="43"/>
      <c r="R77" s="43">
        <f t="shared" si="2"/>
        <v>217150</v>
      </c>
      <c r="S77" s="43"/>
      <c r="T77" s="5"/>
      <c r="U77" s="8">
        <f aca="true" t="shared" si="13" ref="U77:U126">P77-T77</f>
        <v>217150</v>
      </c>
      <c r="V77" s="8"/>
      <c r="X77" s="8"/>
    </row>
    <row r="78" spans="1:24" s="53" customFormat="1" ht="52.5">
      <c r="A78" s="45">
        <v>1113131</v>
      </c>
      <c r="B78" s="46" t="s">
        <v>94</v>
      </c>
      <c r="C78" s="46" t="s">
        <v>28</v>
      </c>
      <c r="D78" s="47" t="s">
        <v>312</v>
      </c>
      <c r="E78" s="48">
        <f t="shared" si="9"/>
        <v>217150</v>
      </c>
      <c r="F78" s="48">
        <v>217150</v>
      </c>
      <c r="G78" s="48"/>
      <c r="H78" s="48"/>
      <c r="I78" s="54"/>
      <c r="J78" s="48">
        <f t="shared" si="10"/>
        <v>0</v>
      </c>
      <c r="K78" s="48"/>
      <c r="L78" s="48"/>
      <c r="M78" s="48"/>
      <c r="N78" s="48">
        <f>O78</f>
        <v>0</v>
      </c>
      <c r="O78" s="48"/>
      <c r="P78" s="13">
        <f t="shared" si="12"/>
        <v>217150</v>
      </c>
      <c r="Q78" s="51"/>
      <c r="R78" s="43">
        <f t="shared" si="2"/>
        <v>217150</v>
      </c>
      <c r="S78" s="51"/>
      <c r="T78" s="61"/>
      <c r="U78" s="8">
        <f t="shared" si="13"/>
        <v>217150</v>
      </c>
      <c r="V78" s="52"/>
      <c r="X78" s="52"/>
    </row>
    <row r="79" spans="1:24" s="6" customFormat="1" ht="12.75">
      <c r="A79" s="3">
        <v>1113240</v>
      </c>
      <c r="B79" s="7" t="s">
        <v>284</v>
      </c>
      <c r="C79" s="7"/>
      <c r="D79" s="30" t="s">
        <v>226</v>
      </c>
      <c r="E79" s="22">
        <f aca="true" t="shared" si="14" ref="E79:E107">F79+I79</f>
        <v>4001950</v>
      </c>
      <c r="F79" s="22">
        <f>F80</f>
        <v>4001950</v>
      </c>
      <c r="G79" s="22">
        <f>G80</f>
        <v>1936900</v>
      </c>
      <c r="H79" s="22">
        <f>H80</f>
        <v>759820</v>
      </c>
      <c r="I79" s="22">
        <f>I80</f>
        <v>0</v>
      </c>
      <c r="J79" s="22">
        <f aca="true" t="shared" si="15" ref="J79:J104">K79+N79</f>
        <v>205000</v>
      </c>
      <c r="K79" s="22">
        <f>K80</f>
        <v>205000</v>
      </c>
      <c r="L79" s="22">
        <f>L80</f>
        <v>0</v>
      </c>
      <c r="M79" s="22">
        <f>M80</f>
        <v>0</v>
      </c>
      <c r="N79" s="22">
        <f>N80</f>
        <v>0</v>
      </c>
      <c r="O79" s="22">
        <f>O80</f>
        <v>0</v>
      </c>
      <c r="P79" s="13">
        <f t="shared" si="12"/>
        <v>4206950</v>
      </c>
      <c r="Q79" s="43"/>
      <c r="R79" s="43">
        <f aca="true" t="shared" si="16" ref="R79:R109">P79-Q79</f>
        <v>4206950</v>
      </c>
      <c r="S79" s="43"/>
      <c r="T79" s="5"/>
      <c r="U79" s="8">
        <f t="shared" si="13"/>
        <v>4206950</v>
      </c>
      <c r="V79" s="8"/>
      <c r="X79" s="8"/>
    </row>
    <row r="80" spans="1:24" s="53" customFormat="1" ht="39">
      <c r="A80" s="45">
        <v>1113241</v>
      </c>
      <c r="B80" s="46" t="s">
        <v>234</v>
      </c>
      <c r="C80" s="46" t="s">
        <v>36</v>
      </c>
      <c r="D80" s="47" t="s">
        <v>227</v>
      </c>
      <c r="E80" s="48">
        <f t="shared" si="14"/>
        <v>4001950</v>
      </c>
      <c r="F80" s="48">
        <v>4001950</v>
      </c>
      <c r="G80" s="48">
        <v>1936900</v>
      </c>
      <c r="H80" s="48">
        <v>759820</v>
      </c>
      <c r="I80" s="48"/>
      <c r="J80" s="48">
        <f t="shared" si="15"/>
        <v>205000</v>
      </c>
      <c r="K80" s="48">
        <v>205000</v>
      </c>
      <c r="L80" s="48"/>
      <c r="M80" s="48"/>
      <c r="N80" s="48">
        <f>O80</f>
        <v>0</v>
      </c>
      <c r="O80" s="48"/>
      <c r="P80" s="13">
        <f t="shared" si="12"/>
        <v>4206950</v>
      </c>
      <c r="Q80" s="51"/>
      <c r="R80" s="51">
        <f t="shared" si="16"/>
        <v>4206950</v>
      </c>
      <c r="S80" s="51"/>
      <c r="T80" s="61"/>
      <c r="U80" s="52">
        <f t="shared" si="13"/>
        <v>4206950</v>
      </c>
      <c r="V80" s="52"/>
      <c r="X80" s="52"/>
    </row>
    <row r="81" spans="1:24" s="6" customFormat="1" ht="26.25" customHeight="1">
      <c r="A81" s="3">
        <v>1115010</v>
      </c>
      <c r="B81" s="7" t="s">
        <v>108</v>
      </c>
      <c r="C81" s="7"/>
      <c r="D81" s="30" t="s">
        <v>110</v>
      </c>
      <c r="E81" s="22">
        <f t="shared" si="14"/>
        <v>9904750</v>
      </c>
      <c r="F81" s="22">
        <f>F82+F83</f>
        <v>9904750</v>
      </c>
      <c r="G81" s="22">
        <f>G82+G83</f>
        <v>0</v>
      </c>
      <c r="H81" s="22">
        <f>H82+H83</f>
        <v>0</v>
      </c>
      <c r="I81" s="22">
        <f>I82+I83</f>
        <v>0</v>
      </c>
      <c r="J81" s="22">
        <f t="shared" si="15"/>
        <v>0</v>
      </c>
      <c r="K81" s="22">
        <f>K82+K83</f>
        <v>0</v>
      </c>
      <c r="L81" s="22">
        <f>L82+L83</f>
        <v>0</v>
      </c>
      <c r="M81" s="22">
        <f>M82+M83</f>
        <v>0</v>
      </c>
      <c r="N81" s="22">
        <f>N82+N83</f>
        <v>0</v>
      </c>
      <c r="O81" s="22">
        <f>O82+O83</f>
        <v>0</v>
      </c>
      <c r="P81" s="13">
        <f t="shared" si="12"/>
        <v>9904750</v>
      </c>
      <c r="Q81" s="43"/>
      <c r="R81" s="43"/>
      <c r="S81" s="43"/>
      <c r="T81" s="5"/>
      <c r="U81" s="8"/>
      <c r="V81" s="8"/>
      <c r="X81" s="8"/>
    </row>
    <row r="82" spans="1:24" s="53" customFormat="1" ht="39">
      <c r="A82" s="45">
        <v>1115011</v>
      </c>
      <c r="B82" s="46" t="s">
        <v>46</v>
      </c>
      <c r="C82" s="46" t="s">
        <v>47</v>
      </c>
      <c r="D82" s="47" t="s">
        <v>121</v>
      </c>
      <c r="E82" s="48">
        <f t="shared" si="14"/>
        <v>7681940</v>
      </c>
      <c r="F82" s="48">
        <v>7681940</v>
      </c>
      <c r="G82" s="48"/>
      <c r="H82" s="48"/>
      <c r="I82" s="54"/>
      <c r="J82" s="48">
        <f t="shared" si="15"/>
        <v>0</v>
      </c>
      <c r="K82" s="48"/>
      <c r="L82" s="48"/>
      <c r="M82" s="48"/>
      <c r="N82" s="48">
        <f>O82</f>
        <v>0</v>
      </c>
      <c r="O82" s="48"/>
      <c r="P82" s="13">
        <f t="shared" si="12"/>
        <v>7681940</v>
      </c>
      <c r="Q82" s="51"/>
      <c r="R82" s="51">
        <f t="shared" si="16"/>
        <v>7681940</v>
      </c>
      <c r="S82" s="51"/>
      <c r="T82" s="61"/>
      <c r="U82" s="52">
        <f t="shared" si="13"/>
        <v>7681940</v>
      </c>
      <c r="V82" s="52"/>
      <c r="X82" s="52"/>
    </row>
    <row r="83" spans="1:24" s="53" customFormat="1" ht="39">
      <c r="A83" s="45">
        <v>1115012</v>
      </c>
      <c r="B83" s="46" t="s">
        <v>97</v>
      </c>
      <c r="C83" s="46" t="s">
        <v>47</v>
      </c>
      <c r="D83" s="47" t="s">
        <v>16</v>
      </c>
      <c r="E83" s="48">
        <f t="shared" si="14"/>
        <v>2222810</v>
      </c>
      <c r="F83" s="48">
        <v>2222810</v>
      </c>
      <c r="G83" s="48"/>
      <c r="H83" s="48"/>
      <c r="I83" s="54"/>
      <c r="J83" s="48">
        <f t="shared" si="15"/>
        <v>0</v>
      </c>
      <c r="K83" s="48"/>
      <c r="L83" s="48"/>
      <c r="M83" s="48"/>
      <c r="N83" s="48">
        <f>O83</f>
        <v>0</v>
      </c>
      <c r="O83" s="48"/>
      <c r="P83" s="13">
        <f t="shared" si="12"/>
        <v>2222810</v>
      </c>
      <c r="Q83" s="51"/>
      <c r="R83" s="51">
        <f t="shared" si="16"/>
        <v>2222810</v>
      </c>
      <c r="S83" s="51"/>
      <c r="T83" s="61"/>
      <c r="U83" s="52">
        <f t="shared" si="13"/>
        <v>2222810</v>
      </c>
      <c r="V83" s="52"/>
      <c r="X83" s="52"/>
    </row>
    <row r="84" spans="1:24" s="58" customFormat="1" ht="42" customHeight="1">
      <c r="A84" s="3">
        <v>1115020</v>
      </c>
      <c r="B84" s="7" t="s">
        <v>109</v>
      </c>
      <c r="C84" s="7"/>
      <c r="D84" s="30" t="s">
        <v>314</v>
      </c>
      <c r="E84" s="22">
        <f>F84+I84</f>
        <v>2251920</v>
      </c>
      <c r="F84" s="22">
        <f>F85+F86</f>
        <v>2251920</v>
      </c>
      <c r="G84" s="22">
        <f>G85+G86</f>
        <v>1569000</v>
      </c>
      <c r="H84" s="22">
        <f>H85+H86</f>
        <v>16920</v>
      </c>
      <c r="I84" s="22">
        <f>I85+I86</f>
        <v>0</v>
      </c>
      <c r="J84" s="22">
        <f>K84+N84</f>
        <v>0</v>
      </c>
      <c r="K84" s="22">
        <f>K85+K86</f>
        <v>0</v>
      </c>
      <c r="L84" s="22">
        <f>L85+L86</f>
        <v>0</v>
      </c>
      <c r="M84" s="22">
        <f>M85+M86</f>
        <v>0</v>
      </c>
      <c r="N84" s="22">
        <f>N85+N86</f>
        <v>0</v>
      </c>
      <c r="O84" s="22">
        <f>O85+O86</f>
        <v>0</v>
      </c>
      <c r="P84" s="13">
        <f t="shared" si="12"/>
        <v>2251920</v>
      </c>
      <c r="Q84" s="43"/>
      <c r="R84" s="43">
        <f t="shared" si="16"/>
        <v>2251920</v>
      </c>
      <c r="S84" s="43"/>
      <c r="T84" s="5"/>
      <c r="U84" s="8">
        <f t="shared" si="13"/>
        <v>2251920</v>
      </c>
      <c r="V84" s="8"/>
      <c r="W84" s="6"/>
      <c r="X84" s="8"/>
    </row>
    <row r="85" spans="1:24" s="59" customFormat="1" ht="42" customHeight="1">
      <c r="A85" s="45">
        <v>1115021</v>
      </c>
      <c r="B85" s="46" t="s">
        <v>98</v>
      </c>
      <c r="C85" s="46" t="s">
        <v>47</v>
      </c>
      <c r="D85" s="47" t="s">
        <v>315</v>
      </c>
      <c r="E85" s="48">
        <f>F85+I85</f>
        <v>2052020</v>
      </c>
      <c r="F85" s="48">
        <v>2052020</v>
      </c>
      <c r="G85" s="48">
        <v>1569000</v>
      </c>
      <c r="H85" s="48">
        <v>16920</v>
      </c>
      <c r="I85" s="54"/>
      <c r="J85" s="48">
        <f>K85+N85</f>
        <v>0</v>
      </c>
      <c r="K85" s="48"/>
      <c r="L85" s="48"/>
      <c r="M85" s="48"/>
      <c r="N85" s="48">
        <f>O85</f>
        <v>0</v>
      </c>
      <c r="O85" s="48"/>
      <c r="P85" s="13">
        <f t="shared" si="12"/>
        <v>2052020</v>
      </c>
      <c r="Q85" s="51"/>
      <c r="R85" s="43">
        <f t="shared" si="16"/>
        <v>2052020</v>
      </c>
      <c r="S85" s="51"/>
      <c r="T85" s="61"/>
      <c r="U85" s="8">
        <f t="shared" si="13"/>
        <v>2052020</v>
      </c>
      <c r="V85" s="52"/>
      <c r="W85" s="53"/>
      <c r="X85" s="52"/>
    </row>
    <row r="86" spans="1:24" s="59" customFormat="1" ht="39">
      <c r="A86" s="45">
        <v>1115022</v>
      </c>
      <c r="B86" s="46" t="s">
        <v>48</v>
      </c>
      <c r="C86" s="46" t="s">
        <v>47</v>
      </c>
      <c r="D86" s="47" t="s">
        <v>316</v>
      </c>
      <c r="E86" s="48">
        <f>F86+I86</f>
        <v>199900</v>
      </c>
      <c r="F86" s="48">
        <v>199900</v>
      </c>
      <c r="G86" s="48"/>
      <c r="H86" s="48"/>
      <c r="I86" s="54"/>
      <c r="J86" s="48">
        <f>K86+N86</f>
        <v>0</v>
      </c>
      <c r="K86" s="48"/>
      <c r="L86" s="48"/>
      <c r="M86" s="48"/>
      <c r="N86" s="48">
        <f>O86</f>
        <v>0</v>
      </c>
      <c r="O86" s="48"/>
      <c r="P86" s="13">
        <f t="shared" si="12"/>
        <v>199900</v>
      </c>
      <c r="Q86" s="51"/>
      <c r="R86" s="43">
        <f t="shared" si="16"/>
        <v>199900</v>
      </c>
      <c r="S86" s="51"/>
      <c r="T86" s="61"/>
      <c r="U86" s="8">
        <f t="shared" si="13"/>
        <v>199900</v>
      </c>
      <c r="V86" s="52"/>
      <c r="W86" s="53"/>
      <c r="X86" s="52"/>
    </row>
    <row r="87" spans="1:24" s="59" customFormat="1" ht="26.25">
      <c r="A87" s="3">
        <v>1115030</v>
      </c>
      <c r="B87" s="7" t="s">
        <v>125</v>
      </c>
      <c r="C87" s="7"/>
      <c r="D87" s="30" t="s">
        <v>124</v>
      </c>
      <c r="E87" s="22">
        <f t="shared" si="14"/>
        <v>10636420</v>
      </c>
      <c r="F87" s="22">
        <f>F88+F89+F90</f>
        <v>10636420</v>
      </c>
      <c r="G87" s="22">
        <f>G88+G89+G90</f>
        <v>5586000</v>
      </c>
      <c r="H87" s="22">
        <f>H88+H89+H90</f>
        <v>118400</v>
      </c>
      <c r="I87" s="22">
        <f>I88+I89+I90</f>
        <v>0</v>
      </c>
      <c r="J87" s="22">
        <f t="shared" si="15"/>
        <v>0</v>
      </c>
      <c r="K87" s="22">
        <f>K88+K89+K90</f>
        <v>0</v>
      </c>
      <c r="L87" s="22">
        <f>L88+L89+L90</f>
        <v>0</v>
      </c>
      <c r="M87" s="22">
        <f>M88+M89+M90</f>
        <v>0</v>
      </c>
      <c r="N87" s="22">
        <f>N88+N89+N90</f>
        <v>0</v>
      </c>
      <c r="O87" s="22">
        <f>O88+O89+O90</f>
        <v>0</v>
      </c>
      <c r="P87" s="13">
        <f t="shared" si="12"/>
        <v>10636420</v>
      </c>
      <c r="Q87" s="51"/>
      <c r="R87" s="43">
        <f t="shared" si="16"/>
        <v>10636420</v>
      </c>
      <c r="S87" s="51"/>
      <c r="T87" s="61"/>
      <c r="U87" s="8">
        <f t="shared" si="13"/>
        <v>10636420</v>
      </c>
      <c r="V87" s="52"/>
      <c r="W87" s="53"/>
      <c r="X87" s="52"/>
    </row>
    <row r="88" spans="1:24" s="58" customFormat="1" ht="39">
      <c r="A88" s="45">
        <v>1115031</v>
      </c>
      <c r="B88" s="46" t="s">
        <v>123</v>
      </c>
      <c r="C88" s="46" t="s">
        <v>47</v>
      </c>
      <c r="D88" s="47" t="s">
        <v>122</v>
      </c>
      <c r="E88" s="48">
        <f>F88+I88</f>
        <v>4067640</v>
      </c>
      <c r="F88" s="48">
        <v>4067640</v>
      </c>
      <c r="G88" s="48">
        <v>2676600</v>
      </c>
      <c r="H88" s="48">
        <v>41170</v>
      </c>
      <c r="I88" s="54"/>
      <c r="J88" s="48">
        <f>K88+N88</f>
        <v>0</v>
      </c>
      <c r="K88" s="48"/>
      <c r="L88" s="48"/>
      <c r="M88" s="48"/>
      <c r="N88" s="48">
        <f>O88</f>
        <v>0</v>
      </c>
      <c r="O88" s="48"/>
      <c r="P88" s="13">
        <f t="shared" si="12"/>
        <v>4067640</v>
      </c>
      <c r="Q88" s="43"/>
      <c r="R88" s="43">
        <f t="shared" si="16"/>
        <v>4067640</v>
      </c>
      <c r="S88" s="43"/>
      <c r="T88" s="5"/>
      <c r="U88" s="8">
        <f t="shared" si="13"/>
        <v>4067640</v>
      </c>
      <c r="V88" s="8"/>
      <c r="W88" s="6"/>
      <c r="X88" s="8"/>
    </row>
    <row r="89" spans="1:24" s="58" customFormat="1" ht="39">
      <c r="A89" s="45">
        <v>1115032</v>
      </c>
      <c r="B89" s="46" t="s">
        <v>127</v>
      </c>
      <c r="C89" s="46" t="s">
        <v>47</v>
      </c>
      <c r="D89" s="47" t="s">
        <v>126</v>
      </c>
      <c r="E89" s="48">
        <f>F89+I89</f>
        <v>2127250</v>
      </c>
      <c r="F89" s="48">
        <v>2127250</v>
      </c>
      <c r="G89" s="48"/>
      <c r="H89" s="48"/>
      <c r="I89" s="54"/>
      <c r="J89" s="48">
        <f>K89+N89</f>
        <v>0</v>
      </c>
      <c r="K89" s="48"/>
      <c r="L89" s="48"/>
      <c r="M89" s="48"/>
      <c r="N89" s="48">
        <f>O89</f>
        <v>0</v>
      </c>
      <c r="O89" s="48"/>
      <c r="P89" s="13">
        <f t="shared" si="12"/>
        <v>2127250</v>
      </c>
      <c r="Q89" s="43"/>
      <c r="R89" s="43">
        <f t="shared" si="16"/>
        <v>2127250</v>
      </c>
      <c r="S89" s="43"/>
      <c r="T89" s="5"/>
      <c r="U89" s="8">
        <f t="shared" si="13"/>
        <v>2127250</v>
      </c>
      <c r="V89" s="8"/>
      <c r="W89" s="6"/>
      <c r="X89" s="8"/>
    </row>
    <row r="90" spans="1:24" s="59" customFormat="1" ht="44.25" customHeight="1">
      <c r="A90" s="45">
        <v>1115033</v>
      </c>
      <c r="B90" s="46" t="s">
        <v>100</v>
      </c>
      <c r="C90" s="46" t="s">
        <v>47</v>
      </c>
      <c r="D90" s="47" t="s">
        <v>285</v>
      </c>
      <c r="E90" s="48">
        <f>F90+I90</f>
        <v>4441530</v>
      </c>
      <c r="F90" s="48">
        <v>4441530</v>
      </c>
      <c r="G90" s="48">
        <v>2909400</v>
      </c>
      <c r="H90" s="48">
        <v>77230</v>
      </c>
      <c r="I90" s="54"/>
      <c r="J90" s="48">
        <f>K90+N90</f>
        <v>0</v>
      </c>
      <c r="K90" s="48"/>
      <c r="L90" s="48"/>
      <c r="M90" s="48"/>
      <c r="N90" s="48">
        <f>O90</f>
        <v>0</v>
      </c>
      <c r="O90" s="48"/>
      <c r="P90" s="13">
        <f t="shared" si="12"/>
        <v>4441530</v>
      </c>
      <c r="Q90" s="51"/>
      <c r="R90" s="43">
        <f t="shared" si="16"/>
        <v>4441530</v>
      </c>
      <c r="S90" s="51"/>
      <c r="T90" s="61"/>
      <c r="U90" s="8">
        <f t="shared" si="13"/>
        <v>4441530</v>
      </c>
      <c r="V90" s="52"/>
      <c r="W90" s="53"/>
      <c r="X90" s="52"/>
    </row>
    <row r="91" spans="1:24" s="58" customFormat="1" ht="26.25">
      <c r="A91" s="3">
        <v>1115050</v>
      </c>
      <c r="B91" s="7" t="s">
        <v>136</v>
      </c>
      <c r="C91" s="7"/>
      <c r="D91" s="30" t="s">
        <v>137</v>
      </c>
      <c r="E91" s="22">
        <f>F91+I91</f>
        <v>1036200</v>
      </c>
      <c r="F91" s="22">
        <f>F92</f>
        <v>1036200</v>
      </c>
      <c r="G91" s="22">
        <f>G92</f>
        <v>0</v>
      </c>
      <c r="H91" s="22">
        <f>H92</f>
        <v>0</v>
      </c>
      <c r="I91" s="22">
        <f>I92</f>
        <v>0</v>
      </c>
      <c r="J91" s="22">
        <f>K91+N91</f>
        <v>0</v>
      </c>
      <c r="K91" s="22">
        <f>K92</f>
        <v>0</v>
      </c>
      <c r="L91" s="22">
        <f>L92</f>
        <v>0</v>
      </c>
      <c r="M91" s="22">
        <f>M92</f>
        <v>0</v>
      </c>
      <c r="N91" s="22">
        <f>N92</f>
        <v>0</v>
      </c>
      <c r="O91" s="22">
        <f>O92</f>
        <v>0</v>
      </c>
      <c r="P91" s="13">
        <f t="shared" si="12"/>
        <v>1036200</v>
      </c>
      <c r="Q91" s="43"/>
      <c r="R91" s="43">
        <f t="shared" si="16"/>
        <v>1036200</v>
      </c>
      <c r="S91" s="43"/>
      <c r="T91" s="5"/>
      <c r="U91" s="8">
        <f t="shared" si="13"/>
        <v>1036200</v>
      </c>
      <c r="V91" s="8"/>
      <c r="W91" s="6"/>
      <c r="X91" s="8"/>
    </row>
    <row r="92" spans="1:24" s="59" customFormat="1" ht="66">
      <c r="A92" s="45">
        <v>1115053</v>
      </c>
      <c r="B92" s="46" t="s">
        <v>128</v>
      </c>
      <c r="C92" s="46" t="s">
        <v>47</v>
      </c>
      <c r="D92" s="47" t="s">
        <v>129</v>
      </c>
      <c r="E92" s="48">
        <f t="shared" si="14"/>
        <v>1036200</v>
      </c>
      <c r="F92" s="48">
        <v>1036200</v>
      </c>
      <c r="G92" s="48"/>
      <c r="H92" s="48"/>
      <c r="I92" s="54"/>
      <c r="J92" s="48">
        <f t="shared" si="15"/>
        <v>0</v>
      </c>
      <c r="K92" s="48"/>
      <c r="L92" s="48"/>
      <c r="M92" s="48"/>
      <c r="N92" s="48">
        <f>O92</f>
        <v>0</v>
      </c>
      <c r="O92" s="48"/>
      <c r="P92" s="13">
        <f t="shared" si="12"/>
        <v>1036200</v>
      </c>
      <c r="Q92" s="51"/>
      <c r="R92" s="43">
        <f t="shared" si="16"/>
        <v>1036200</v>
      </c>
      <c r="S92" s="51"/>
      <c r="T92" s="61"/>
      <c r="U92" s="8">
        <f t="shared" si="13"/>
        <v>1036200</v>
      </c>
      <c r="V92" s="52"/>
      <c r="W92" s="53"/>
      <c r="X92" s="52"/>
    </row>
    <row r="93" spans="1:24" s="58" customFormat="1" ht="26.25">
      <c r="A93" s="3">
        <v>1115060</v>
      </c>
      <c r="B93" s="7" t="s">
        <v>99</v>
      </c>
      <c r="C93" s="7"/>
      <c r="D93" s="30" t="s">
        <v>130</v>
      </c>
      <c r="E93" s="22">
        <f t="shared" si="14"/>
        <v>2241770</v>
      </c>
      <c r="F93" s="22">
        <f>F94+F95</f>
        <v>2241770</v>
      </c>
      <c r="G93" s="22">
        <f aca="true" t="shared" si="17" ref="G93:O93">G94+G95</f>
        <v>466000</v>
      </c>
      <c r="H93" s="22">
        <f t="shared" si="17"/>
        <v>19210</v>
      </c>
      <c r="I93" s="22">
        <f t="shared" si="17"/>
        <v>0</v>
      </c>
      <c r="J93" s="22">
        <f t="shared" si="15"/>
        <v>0</v>
      </c>
      <c r="K93" s="22">
        <f t="shared" si="17"/>
        <v>0</v>
      </c>
      <c r="L93" s="22">
        <f t="shared" si="17"/>
        <v>0</v>
      </c>
      <c r="M93" s="22">
        <f t="shared" si="17"/>
        <v>0</v>
      </c>
      <c r="N93" s="22">
        <f t="shared" si="17"/>
        <v>0</v>
      </c>
      <c r="O93" s="22">
        <f t="shared" si="17"/>
        <v>0</v>
      </c>
      <c r="P93" s="13">
        <f t="shared" si="12"/>
        <v>2241770</v>
      </c>
      <c r="Q93" s="43"/>
      <c r="R93" s="43">
        <f t="shared" si="16"/>
        <v>2241770</v>
      </c>
      <c r="S93" s="43"/>
      <c r="T93" s="5"/>
      <c r="U93" s="8">
        <f t="shared" si="13"/>
        <v>2241770</v>
      </c>
      <c r="V93" s="8"/>
      <c r="W93" s="6"/>
      <c r="X93" s="8"/>
    </row>
    <row r="94" spans="1:24" s="59" customFormat="1" ht="66">
      <c r="A94" s="45">
        <v>1115061</v>
      </c>
      <c r="B94" s="46" t="s">
        <v>132</v>
      </c>
      <c r="C94" s="46" t="s">
        <v>47</v>
      </c>
      <c r="D94" s="47" t="s">
        <v>131</v>
      </c>
      <c r="E94" s="48">
        <f>F94+I94</f>
        <v>809510</v>
      </c>
      <c r="F94" s="48">
        <v>809510</v>
      </c>
      <c r="G94" s="48">
        <v>466000</v>
      </c>
      <c r="H94" s="48">
        <v>19210</v>
      </c>
      <c r="I94" s="54"/>
      <c r="J94" s="48">
        <f>K94+N94</f>
        <v>0</v>
      </c>
      <c r="K94" s="48"/>
      <c r="L94" s="48"/>
      <c r="M94" s="48"/>
      <c r="N94" s="48">
        <f>O94</f>
        <v>0</v>
      </c>
      <c r="O94" s="48"/>
      <c r="P94" s="13">
        <f t="shared" si="12"/>
        <v>809510</v>
      </c>
      <c r="Q94" s="51"/>
      <c r="R94" s="43">
        <f t="shared" si="16"/>
        <v>809510</v>
      </c>
      <c r="S94" s="51"/>
      <c r="T94" s="61"/>
      <c r="U94" s="8">
        <f t="shared" si="13"/>
        <v>809510</v>
      </c>
      <c r="V94" s="52"/>
      <c r="W94" s="53"/>
      <c r="X94" s="52"/>
    </row>
    <row r="95" spans="1:24" s="60" customFormat="1" ht="52.5">
      <c r="A95" s="45">
        <v>1115062</v>
      </c>
      <c r="B95" s="46" t="s">
        <v>134</v>
      </c>
      <c r="C95" s="46" t="s">
        <v>47</v>
      </c>
      <c r="D95" s="47" t="s">
        <v>133</v>
      </c>
      <c r="E95" s="48">
        <f>F95+I95</f>
        <v>1432260</v>
      </c>
      <c r="F95" s="48">
        <v>1432260</v>
      </c>
      <c r="G95" s="48"/>
      <c r="H95" s="48"/>
      <c r="I95" s="54"/>
      <c r="J95" s="48">
        <f>K95+N95</f>
        <v>0</v>
      </c>
      <c r="K95" s="48"/>
      <c r="L95" s="48"/>
      <c r="M95" s="48"/>
      <c r="N95" s="48">
        <f>O95</f>
        <v>0</v>
      </c>
      <c r="O95" s="48"/>
      <c r="P95" s="13">
        <f t="shared" si="12"/>
        <v>1432260</v>
      </c>
      <c r="Q95" s="51"/>
      <c r="R95" s="43">
        <f t="shared" si="16"/>
        <v>1432260</v>
      </c>
      <c r="S95" s="51"/>
      <c r="T95" s="61"/>
      <c r="U95" s="8">
        <f t="shared" si="13"/>
        <v>1432260</v>
      </c>
      <c r="V95" s="52"/>
      <c r="X95" s="52"/>
    </row>
    <row r="96" spans="1:24" s="9" customFormat="1" ht="26.25">
      <c r="A96" s="4" t="s">
        <v>239</v>
      </c>
      <c r="B96" s="4"/>
      <c r="C96" s="4"/>
      <c r="D96" s="32" t="s">
        <v>60</v>
      </c>
      <c r="E96" s="33">
        <f t="shared" si="14"/>
        <v>7600415</v>
      </c>
      <c r="F96" s="33">
        <f>F97</f>
        <v>7600415</v>
      </c>
      <c r="G96" s="33">
        <f>G97</f>
        <v>3307500</v>
      </c>
      <c r="H96" s="33">
        <f>H97</f>
        <v>617600</v>
      </c>
      <c r="I96" s="33">
        <f>I97</f>
        <v>0</v>
      </c>
      <c r="J96" s="33">
        <f t="shared" si="15"/>
        <v>40000</v>
      </c>
      <c r="K96" s="33">
        <f>K97</f>
        <v>40000</v>
      </c>
      <c r="L96" s="33">
        <f>L97</f>
        <v>0</v>
      </c>
      <c r="M96" s="33">
        <f>M97</f>
        <v>0</v>
      </c>
      <c r="N96" s="33">
        <f>N97</f>
        <v>0</v>
      </c>
      <c r="O96" s="33">
        <f>O97</f>
        <v>0</v>
      </c>
      <c r="P96" s="13">
        <f t="shared" si="12"/>
        <v>7640415</v>
      </c>
      <c r="Q96" s="43">
        <v>6132800</v>
      </c>
      <c r="R96" s="43">
        <f t="shared" si="16"/>
        <v>1507615</v>
      </c>
      <c r="S96" s="43"/>
      <c r="T96" s="5">
        <v>6132800</v>
      </c>
      <c r="U96" s="8">
        <f t="shared" si="13"/>
        <v>1507615</v>
      </c>
      <c r="V96" s="8"/>
      <c r="X96" s="8"/>
    </row>
    <row r="97" spans="1:24" s="6" customFormat="1" ht="26.25">
      <c r="A97" s="4" t="s">
        <v>240</v>
      </c>
      <c r="B97" s="4"/>
      <c r="C97" s="4"/>
      <c r="D97" s="32" t="s">
        <v>57</v>
      </c>
      <c r="E97" s="33">
        <f t="shared" si="14"/>
        <v>7600415</v>
      </c>
      <c r="F97" s="33">
        <f>SUM(F99:F100)</f>
        <v>7600415</v>
      </c>
      <c r="G97" s="33">
        <f>SUM(G99:G100)</f>
        <v>3307500</v>
      </c>
      <c r="H97" s="33">
        <f>SUM(H99:H100)</f>
        <v>617600</v>
      </c>
      <c r="I97" s="33">
        <f>SUM(I99:I100)</f>
        <v>0</v>
      </c>
      <c r="J97" s="33">
        <f t="shared" si="15"/>
        <v>40000</v>
      </c>
      <c r="K97" s="33">
        <f>SUM(K99:K100)</f>
        <v>40000</v>
      </c>
      <c r="L97" s="33">
        <f>SUM(L99:L100)</f>
        <v>0</v>
      </c>
      <c r="M97" s="33">
        <f>SUM(M99:M100)</f>
        <v>0</v>
      </c>
      <c r="N97" s="33">
        <f>SUM(N99:N100)</f>
        <v>0</v>
      </c>
      <c r="O97" s="33">
        <f>SUM(O99:O100)</f>
        <v>0</v>
      </c>
      <c r="P97" s="13">
        <f t="shared" si="12"/>
        <v>7640415</v>
      </c>
      <c r="Q97" s="55"/>
      <c r="R97" s="43">
        <f t="shared" si="16"/>
        <v>7640415</v>
      </c>
      <c r="S97" s="55"/>
      <c r="T97" s="5"/>
      <c r="U97" s="8">
        <f t="shared" si="13"/>
        <v>7640415</v>
      </c>
      <c r="V97" s="5"/>
      <c r="X97" s="5"/>
    </row>
    <row r="98" spans="1:24" s="53" customFormat="1" ht="26.25">
      <c r="A98" s="7" t="s">
        <v>241</v>
      </c>
      <c r="B98" s="7" t="s">
        <v>113</v>
      </c>
      <c r="C98" s="7"/>
      <c r="D98" s="30" t="s">
        <v>114</v>
      </c>
      <c r="E98" s="22">
        <f t="shared" si="14"/>
        <v>7600415</v>
      </c>
      <c r="F98" s="22">
        <f>F99+F100</f>
        <v>7600415</v>
      </c>
      <c r="G98" s="22">
        <f>G99+G100</f>
        <v>3307500</v>
      </c>
      <c r="H98" s="22">
        <f>H99+H100</f>
        <v>617600</v>
      </c>
      <c r="I98" s="22">
        <f>I99+I100</f>
        <v>0</v>
      </c>
      <c r="J98" s="22">
        <f t="shared" si="15"/>
        <v>40000</v>
      </c>
      <c r="K98" s="22">
        <f>K99+K100</f>
        <v>40000</v>
      </c>
      <c r="L98" s="22">
        <f>L99+L100</f>
        <v>0</v>
      </c>
      <c r="M98" s="22">
        <f>M99+M100</f>
        <v>0</v>
      </c>
      <c r="N98" s="22">
        <f>N99+N100</f>
        <v>0</v>
      </c>
      <c r="O98" s="22">
        <f>O99+O100</f>
        <v>0</v>
      </c>
      <c r="P98" s="13">
        <f t="shared" si="12"/>
        <v>7640415</v>
      </c>
      <c r="Q98" s="51"/>
      <c r="R98" s="43">
        <f t="shared" si="16"/>
        <v>7640415</v>
      </c>
      <c r="S98" s="51"/>
      <c r="T98" s="61"/>
      <c r="U98" s="8">
        <f t="shared" si="13"/>
        <v>7640415</v>
      </c>
      <c r="V98" s="52"/>
      <c r="X98" s="52"/>
    </row>
    <row r="99" spans="1:24" s="53" customFormat="1" ht="46.5" customHeight="1">
      <c r="A99" s="46" t="s">
        <v>242</v>
      </c>
      <c r="B99" s="46" t="s">
        <v>93</v>
      </c>
      <c r="C99" s="46" t="s">
        <v>28</v>
      </c>
      <c r="D99" s="47" t="s">
        <v>19</v>
      </c>
      <c r="E99" s="48">
        <f t="shared" si="14"/>
        <v>7016715</v>
      </c>
      <c r="F99" s="49">
        <f>7016738-23</f>
        <v>7016715</v>
      </c>
      <c r="G99" s="49">
        <v>3307500</v>
      </c>
      <c r="H99" s="49">
        <v>617600</v>
      </c>
      <c r="I99" s="50"/>
      <c r="J99" s="48">
        <f t="shared" si="15"/>
        <v>40000</v>
      </c>
      <c r="K99" s="49">
        <v>40000</v>
      </c>
      <c r="L99" s="49"/>
      <c r="M99" s="49"/>
      <c r="N99" s="49">
        <f>O99</f>
        <v>0</v>
      </c>
      <c r="O99" s="48"/>
      <c r="P99" s="13">
        <f t="shared" si="12"/>
        <v>7056715</v>
      </c>
      <c r="Q99" s="51"/>
      <c r="R99" s="43">
        <f t="shared" si="16"/>
        <v>7056715</v>
      </c>
      <c r="S99" s="51"/>
      <c r="T99" s="61"/>
      <c r="U99" s="8">
        <f t="shared" si="13"/>
        <v>7056715</v>
      </c>
      <c r="V99" s="52"/>
      <c r="X99" s="52"/>
    </row>
    <row r="100" spans="1:24" s="9" customFormat="1" ht="31.5" customHeight="1">
      <c r="A100" s="46" t="s">
        <v>243</v>
      </c>
      <c r="B100" s="46" t="s">
        <v>96</v>
      </c>
      <c r="C100" s="46" t="s">
        <v>28</v>
      </c>
      <c r="D100" s="47" t="s">
        <v>18</v>
      </c>
      <c r="E100" s="48">
        <f t="shared" si="14"/>
        <v>583700</v>
      </c>
      <c r="F100" s="49">
        <v>583700</v>
      </c>
      <c r="G100" s="49"/>
      <c r="H100" s="49"/>
      <c r="I100" s="50"/>
      <c r="J100" s="48">
        <f t="shared" si="15"/>
        <v>0</v>
      </c>
      <c r="K100" s="49"/>
      <c r="L100" s="49"/>
      <c r="M100" s="49"/>
      <c r="N100" s="49">
        <f>O100</f>
        <v>0</v>
      </c>
      <c r="O100" s="56"/>
      <c r="P100" s="13">
        <f t="shared" si="12"/>
        <v>583700</v>
      </c>
      <c r="Q100" s="43"/>
      <c r="R100" s="43">
        <f t="shared" si="16"/>
        <v>583700</v>
      </c>
      <c r="S100" s="43"/>
      <c r="T100" s="5"/>
      <c r="U100" s="8">
        <f t="shared" si="13"/>
        <v>583700</v>
      </c>
      <c r="V100" s="8"/>
      <c r="X100" s="8"/>
    </row>
    <row r="101" spans="1:24" s="9" customFormat="1" ht="39">
      <c r="A101" s="4" t="s">
        <v>196</v>
      </c>
      <c r="B101" s="20"/>
      <c r="C101" s="20"/>
      <c r="D101" s="10" t="s">
        <v>82</v>
      </c>
      <c r="E101" s="33">
        <f t="shared" si="14"/>
        <v>120836833</v>
      </c>
      <c r="F101" s="33">
        <f>F102</f>
        <v>120836833</v>
      </c>
      <c r="G101" s="33">
        <f>G102</f>
        <v>23749755</v>
      </c>
      <c r="H101" s="33">
        <f>H102</f>
        <v>2435022</v>
      </c>
      <c r="I101" s="33">
        <f>I102</f>
        <v>0</v>
      </c>
      <c r="J101" s="33">
        <f t="shared" si="15"/>
        <v>3037100</v>
      </c>
      <c r="K101" s="33">
        <f>K102</f>
        <v>2938200</v>
      </c>
      <c r="L101" s="33">
        <f>L102</f>
        <v>735130</v>
      </c>
      <c r="M101" s="33">
        <f>M102</f>
        <v>155840</v>
      </c>
      <c r="N101" s="33">
        <f>N102</f>
        <v>98900</v>
      </c>
      <c r="O101" s="33">
        <f>O102</f>
        <v>0</v>
      </c>
      <c r="P101" s="13">
        <f t="shared" si="12"/>
        <v>123873933</v>
      </c>
      <c r="Q101" s="43">
        <v>108766180</v>
      </c>
      <c r="R101" s="43">
        <f t="shared" si="16"/>
        <v>15107753</v>
      </c>
      <c r="S101" s="43"/>
      <c r="T101" s="5">
        <v>117238468</v>
      </c>
      <c r="U101" s="8">
        <f t="shared" si="13"/>
        <v>6635465</v>
      </c>
      <c r="V101" s="8"/>
      <c r="X101" s="8"/>
    </row>
    <row r="102" spans="1:24" s="6" customFormat="1" ht="39">
      <c r="A102" s="4" t="s">
        <v>197</v>
      </c>
      <c r="B102" s="20"/>
      <c r="C102" s="20"/>
      <c r="D102" s="10" t="s">
        <v>83</v>
      </c>
      <c r="E102" s="33">
        <f t="shared" si="14"/>
        <v>120836833</v>
      </c>
      <c r="F102" s="33">
        <f>SUM(F103:F109)</f>
        <v>120836833</v>
      </c>
      <c r="G102" s="33">
        <f>SUM(G103:G109)</f>
        <v>23749755</v>
      </c>
      <c r="H102" s="33">
        <f>SUM(H103:H109)</f>
        <v>2435022</v>
      </c>
      <c r="I102" s="33">
        <f>SUM(I103:I109)</f>
        <v>0</v>
      </c>
      <c r="J102" s="33">
        <f t="shared" si="15"/>
        <v>3037100</v>
      </c>
      <c r="K102" s="33">
        <f>SUM(K103:K109)</f>
        <v>2938200</v>
      </c>
      <c r="L102" s="33">
        <f>SUM(L103:L109)</f>
        <v>735130</v>
      </c>
      <c r="M102" s="33">
        <f>SUM(M103:M109)</f>
        <v>155840</v>
      </c>
      <c r="N102" s="33">
        <f>SUM(N103:N109)</f>
        <v>98900</v>
      </c>
      <c r="O102" s="33">
        <f>SUM(O103:O109)</f>
        <v>0</v>
      </c>
      <c r="P102" s="13">
        <f t="shared" si="12"/>
        <v>123873933</v>
      </c>
      <c r="Q102" s="43"/>
      <c r="R102" s="43">
        <f t="shared" si="16"/>
        <v>123873933</v>
      </c>
      <c r="S102" s="43"/>
      <c r="T102" s="5"/>
      <c r="U102" s="8">
        <f t="shared" si="13"/>
        <v>123873933</v>
      </c>
      <c r="V102" s="8"/>
      <c r="X102" s="8"/>
    </row>
    <row r="103" spans="1:24" s="6" customFormat="1" ht="45.75" customHeight="1">
      <c r="A103" s="3">
        <v>1011120</v>
      </c>
      <c r="B103" s="7" t="s">
        <v>63</v>
      </c>
      <c r="C103" s="7" t="s">
        <v>64</v>
      </c>
      <c r="D103" s="30" t="s">
        <v>205</v>
      </c>
      <c r="E103" s="22">
        <f t="shared" si="14"/>
        <v>39102748</v>
      </c>
      <c r="F103" s="37">
        <v>39102748</v>
      </c>
      <c r="G103" s="37"/>
      <c r="H103" s="37"/>
      <c r="I103" s="15"/>
      <c r="J103" s="22">
        <f t="shared" si="15"/>
        <v>1482300</v>
      </c>
      <c r="K103" s="37">
        <v>1482300</v>
      </c>
      <c r="L103" s="37"/>
      <c r="M103" s="37"/>
      <c r="N103" s="37">
        <f aca="true" t="shared" si="18" ref="N103:N111">O103</f>
        <v>0</v>
      </c>
      <c r="O103" s="37"/>
      <c r="P103" s="13">
        <f t="shared" si="12"/>
        <v>40585048</v>
      </c>
      <c r="Q103" s="43"/>
      <c r="R103" s="43">
        <f t="shared" si="16"/>
        <v>40585048</v>
      </c>
      <c r="S103" s="43"/>
      <c r="T103" s="5"/>
      <c r="U103" s="8">
        <f t="shared" si="13"/>
        <v>40585048</v>
      </c>
      <c r="V103" s="8"/>
      <c r="X103" s="8"/>
    </row>
    <row r="104" spans="1:24" s="6" customFormat="1" ht="12.75">
      <c r="A104" s="3">
        <v>1014010</v>
      </c>
      <c r="B104" s="7" t="s">
        <v>192</v>
      </c>
      <c r="C104" s="7" t="s">
        <v>85</v>
      </c>
      <c r="D104" s="30" t="s">
        <v>191</v>
      </c>
      <c r="E104" s="22">
        <f t="shared" si="14"/>
        <v>22790056</v>
      </c>
      <c r="F104" s="37">
        <v>22790056</v>
      </c>
      <c r="G104" s="37"/>
      <c r="H104" s="22"/>
      <c r="I104" s="14"/>
      <c r="J104" s="22">
        <f t="shared" si="15"/>
        <v>0</v>
      </c>
      <c r="K104" s="37"/>
      <c r="L104" s="37"/>
      <c r="M104" s="22"/>
      <c r="N104" s="37">
        <f t="shared" si="18"/>
        <v>0</v>
      </c>
      <c r="O104" s="37"/>
      <c r="P104" s="13">
        <f t="shared" si="12"/>
        <v>22790056</v>
      </c>
      <c r="Q104" s="43"/>
      <c r="R104" s="43">
        <f t="shared" si="16"/>
        <v>22790056</v>
      </c>
      <c r="S104" s="43"/>
      <c r="T104" s="5"/>
      <c r="U104" s="8">
        <f t="shared" si="13"/>
        <v>22790056</v>
      </c>
      <c r="V104" s="8"/>
      <c r="X104" s="8"/>
    </row>
    <row r="105" spans="1:24" s="6" customFormat="1" ht="52.5">
      <c r="A105" s="3">
        <v>1014020</v>
      </c>
      <c r="B105" s="7" t="s">
        <v>84</v>
      </c>
      <c r="C105" s="7" t="s">
        <v>86</v>
      </c>
      <c r="D105" s="30" t="s">
        <v>193</v>
      </c>
      <c r="E105" s="22">
        <f t="shared" si="14"/>
        <v>24841778</v>
      </c>
      <c r="F105" s="37">
        <v>24841778</v>
      </c>
      <c r="G105" s="37"/>
      <c r="H105" s="22"/>
      <c r="I105" s="14"/>
      <c r="J105" s="22">
        <f aca="true" t="shared" si="19" ref="J105:J135">K105+N105</f>
        <v>0</v>
      </c>
      <c r="K105" s="37"/>
      <c r="L105" s="37"/>
      <c r="M105" s="22"/>
      <c r="N105" s="37">
        <f t="shared" si="18"/>
        <v>0</v>
      </c>
      <c r="O105" s="37"/>
      <c r="P105" s="13">
        <f t="shared" si="12"/>
        <v>24841778</v>
      </c>
      <c r="Q105" s="43"/>
      <c r="R105" s="43">
        <f t="shared" si="16"/>
        <v>24841778</v>
      </c>
      <c r="S105" s="43"/>
      <c r="T105" s="5"/>
      <c r="U105" s="8">
        <f t="shared" si="13"/>
        <v>24841778</v>
      </c>
      <c r="V105" s="8"/>
      <c r="X105" s="8"/>
    </row>
    <row r="106" spans="1:24" s="6" customFormat="1" ht="12.75">
      <c r="A106" s="3">
        <v>1014030</v>
      </c>
      <c r="B106" s="7" t="s">
        <v>275</v>
      </c>
      <c r="C106" s="7" t="s">
        <v>80</v>
      </c>
      <c r="D106" s="30" t="s">
        <v>194</v>
      </c>
      <c r="E106" s="22">
        <f t="shared" si="14"/>
        <v>16393552</v>
      </c>
      <c r="F106" s="37">
        <v>16393552</v>
      </c>
      <c r="G106" s="37">
        <v>12279177</v>
      </c>
      <c r="H106" s="37">
        <v>1035922</v>
      </c>
      <c r="I106" s="15"/>
      <c r="J106" s="22">
        <f t="shared" si="19"/>
        <v>225400</v>
      </c>
      <c r="K106" s="37">
        <v>168500</v>
      </c>
      <c r="L106" s="37">
        <v>66400</v>
      </c>
      <c r="M106" s="37">
        <v>10690</v>
      </c>
      <c r="N106" s="37">
        <f>O106+56900</f>
        <v>56900</v>
      </c>
      <c r="O106" s="22"/>
      <c r="P106" s="13">
        <f t="shared" si="12"/>
        <v>16618952</v>
      </c>
      <c r="Q106" s="43"/>
      <c r="R106" s="43">
        <f t="shared" si="16"/>
        <v>16618952</v>
      </c>
      <c r="S106" s="43"/>
      <c r="T106" s="5"/>
      <c r="U106" s="8">
        <f t="shared" si="13"/>
        <v>16618952</v>
      </c>
      <c r="V106" s="8"/>
      <c r="X106" s="8"/>
    </row>
    <row r="107" spans="1:24" s="6" customFormat="1" ht="26.25">
      <c r="A107" s="3">
        <v>1014040</v>
      </c>
      <c r="B107" s="7" t="s">
        <v>302</v>
      </c>
      <c r="C107" s="7" t="s">
        <v>80</v>
      </c>
      <c r="D107" s="30" t="s">
        <v>195</v>
      </c>
      <c r="E107" s="22">
        <f t="shared" si="14"/>
        <v>8872222</v>
      </c>
      <c r="F107" s="37">
        <v>8872222</v>
      </c>
      <c r="G107" s="37">
        <v>6118820</v>
      </c>
      <c r="H107" s="37">
        <v>881754</v>
      </c>
      <c r="I107" s="15"/>
      <c r="J107" s="22">
        <f t="shared" si="19"/>
        <v>248000</v>
      </c>
      <c r="K107" s="37">
        <v>216000</v>
      </c>
      <c r="L107" s="37">
        <v>32000</v>
      </c>
      <c r="M107" s="37">
        <v>9200</v>
      </c>
      <c r="N107" s="37">
        <f>O107+32000</f>
        <v>32000</v>
      </c>
      <c r="O107" s="22"/>
      <c r="P107" s="13">
        <f t="shared" si="12"/>
        <v>9120222</v>
      </c>
      <c r="Q107" s="43"/>
      <c r="R107" s="43">
        <f t="shared" si="16"/>
        <v>9120222</v>
      </c>
      <c r="S107" s="43"/>
      <c r="T107" s="5"/>
      <c r="U107" s="8">
        <f t="shared" si="13"/>
        <v>9120222</v>
      </c>
      <c r="V107" s="8"/>
      <c r="X107" s="8"/>
    </row>
    <row r="108" spans="1:24" s="6" customFormat="1" ht="12.75">
      <c r="A108" s="3">
        <v>1014050</v>
      </c>
      <c r="B108" s="7" t="s">
        <v>199</v>
      </c>
      <c r="C108" s="7" t="s">
        <v>88</v>
      </c>
      <c r="D108" s="30" t="s">
        <v>198</v>
      </c>
      <c r="E108" s="22">
        <f aca="true" t="shared" si="20" ref="E108:E135">F108+I108</f>
        <v>2978706</v>
      </c>
      <c r="F108" s="37">
        <v>2978706</v>
      </c>
      <c r="G108" s="37">
        <v>2079325</v>
      </c>
      <c r="H108" s="37">
        <v>302625</v>
      </c>
      <c r="I108" s="15"/>
      <c r="J108" s="22">
        <f t="shared" si="19"/>
        <v>981200</v>
      </c>
      <c r="K108" s="37">
        <v>971200</v>
      </c>
      <c r="L108" s="37">
        <v>601030</v>
      </c>
      <c r="M108" s="37">
        <v>122800</v>
      </c>
      <c r="N108" s="37">
        <f>O108+10000</f>
        <v>10000</v>
      </c>
      <c r="O108" s="22"/>
      <c r="P108" s="13">
        <f t="shared" si="12"/>
        <v>3959906</v>
      </c>
      <c r="Q108" s="43"/>
      <c r="R108" s="43">
        <f t="shared" si="16"/>
        <v>3959906</v>
      </c>
      <c r="S108" s="43"/>
      <c r="T108" s="5"/>
      <c r="U108" s="8">
        <f t="shared" si="13"/>
        <v>3959906</v>
      </c>
      <c r="V108" s="8"/>
      <c r="X108" s="8"/>
    </row>
    <row r="109" spans="1:24" s="6" customFormat="1" ht="26.25">
      <c r="A109" s="3">
        <v>1014080</v>
      </c>
      <c r="B109" s="7" t="s">
        <v>87</v>
      </c>
      <c r="C109" s="7"/>
      <c r="D109" s="30" t="s">
        <v>200</v>
      </c>
      <c r="E109" s="22">
        <f t="shared" si="20"/>
        <v>5857771</v>
      </c>
      <c r="F109" s="37">
        <f>F110+F111</f>
        <v>5857771</v>
      </c>
      <c r="G109" s="37">
        <f>G110+G111</f>
        <v>3272433</v>
      </c>
      <c r="H109" s="37">
        <f>H110+H111</f>
        <v>214721</v>
      </c>
      <c r="I109" s="37">
        <f>I110+I111</f>
        <v>0</v>
      </c>
      <c r="J109" s="22">
        <f t="shared" si="19"/>
        <v>100200</v>
      </c>
      <c r="K109" s="22">
        <f>K110+K111</f>
        <v>100200</v>
      </c>
      <c r="L109" s="22">
        <f>L110+L111</f>
        <v>35700</v>
      </c>
      <c r="M109" s="22">
        <f>M110+M111</f>
        <v>13150</v>
      </c>
      <c r="N109" s="22">
        <f>N110+N111</f>
        <v>0</v>
      </c>
      <c r="O109" s="22">
        <f>O110+O111</f>
        <v>0</v>
      </c>
      <c r="P109" s="13">
        <f t="shared" si="12"/>
        <v>5957971</v>
      </c>
      <c r="Q109" s="43"/>
      <c r="R109" s="43">
        <f t="shared" si="16"/>
        <v>5957971</v>
      </c>
      <c r="S109" s="43"/>
      <c r="T109" s="5"/>
      <c r="U109" s="8">
        <f t="shared" si="13"/>
        <v>5957971</v>
      </c>
      <c r="V109" s="8"/>
      <c r="X109" s="8"/>
    </row>
    <row r="110" spans="1:24" s="53" customFormat="1" ht="30.75" customHeight="1">
      <c r="A110" s="45">
        <v>1014081</v>
      </c>
      <c r="B110" s="99" t="s">
        <v>202</v>
      </c>
      <c r="C110" s="46" t="s">
        <v>89</v>
      </c>
      <c r="D110" s="47" t="s">
        <v>201</v>
      </c>
      <c r="E110" s="22">
        <f t="shared" si="20"/>
        <v>4673471</v>
      </c>
      <c r="F110" s="49">
        <v>4673471</v>
      </c>
      <c r="G110" s="49">
        <v>3272433</v>
      </c>
      <c r="H110" s="49">
        <v>214721</v>
      </c>
      <c r="I110" s="49"/>
      <c r="J110" s="22">
        <f t="shared" si="19"/>
        <v>100200</v>
      </c>
      <c r="K110" s="48">
        <v>100200</v>
      </c>
      <c r="L110" s="49">
        <v>35700</v>
      </c>
      <c r="M110" s="49">
        <v>13150</v>
      </c>
      <c r="N110" s="37">
        <f t="shared" si="18"/>
        <v>0</v>
      </c>
      <c r="O110" s="49"/>
      <c r="P110" s="13">
        <f t="shared" si="12"/>
        <v>4773671</v>
      </c>
      <c r="Q110" s="51"/>
      <c r="R110" s="51"/>
      <c r="S110" s="51"/>
      <c r="T110" s="61"/>
      <c r="U110" s="52"/>
      <c r="V110" s="52"/>
      <c r="X110" s="52"/>
    </row>
    <row r="111" spans="1:24" s="53" customFormat="1" ht="30.75" customHeight="1">
      <c r="A111" s="45">
        <v>1014082</v>
      </c>
      <c r="B111" s="99" t="s">
        <v>204</v>
      </c>
      <c r="C111" s="46" t="s">
        <v>89</v>
      </c>
      <c r="D111" s="100" t="s">
        <v>203</v>
      </c>
      <c r="E111" s="48">
        <f t="shared" si="20"/>
        <v>1184300</v>
      </c>
      <c r="F111" s="49">
        <v>1184300</v>
      </c>
      <c r="G111" s="49"/>
      <c r="H111" s="49"/>
      <c r="I111" s="49"/>
      <c r="J111" s="48">
        <f t="shared" si="19"/>
        <v>0</v>
      </c>
      <c r="K111" s="48"/>
      <c r="L111" s="49"/>
      <c r="M111" s="49"/>
      <c r="N111" s="49">
        <f t="shared" si="18"/>
        <v>0</v>
      </c>
      <c r="O111" s="49"/>
      <c r="P111" s="13">
        <f t="shared" si="12"/>
        <v>1184300</v>
      </c>
      <c r="Q111" s="51"/>
      <c r="R111" s="51"/>
      <c r="S111" s="51"/>
      <c r="T111" s="61"/>
      <c r="U111" s="52"/>
      <c r="V111" s="52"/>
      <c r="X111" s="52"/>
    </row>
    <row r="112" spans="1:24" s="71" customFormat="1" ht="39">
      <c r="A112" s="101">
        <v>1500000</v>
      </c>
      <c r="B112" s="102"/>
      <c r="C112" s="103"/>
      <c r="D112" s="104" t="s">
        <v>211</v>
      </c>
      <c r="E112" s="81">
        <f>E113</f>
        <v>3000000</v>
      </c>
      <c r="F112" s="81">
        <f aca="true" t="shared" si="21" ref="F112:O113">F113</f>
        <v>3000000</v>
      </c>
      <c r="G112" s="81">
        <f t="shared" si="21"/>
        <v>0</v>
      </c>
      <c r="H112" s="81">
        <f t="shared" si="21"/>
        <v>0</v>
      </c>
      <c r="I112" s="81">
        <f t="shared" si="21"/>
        <v>0</v>
      </c>
      <c r="J112" s="22">
        <f t="shared" si="19"/>
        <v>456533500</v>
      </c>
      <c r="K112" s="82">
        <f t="shared" si="21"/>
        <v>0</v>
      </c>
      <c r="L112" s="82">
        <f t="shared" si="21"/>
        <v>0</v>
      </c>
      <c r="M112" s="82">
        <f t="shared" si="21"/>
        <v>0</v>
      </c>
      <c r="N112" s="82">
        <f t="shared" si="21"/>
        <v>456533500</v>
      </c>
      <c r="O112" s="82">
        <f t="shared" si="21"/>
        <v>0</v>
      </c>
      <c r="P112" s="13">
        <f t="shared" si="12"/>
        <v>459533500</v>
      </c>
      <c r="Q112" s="68"/>
      <c r="R112" s="68">
        <f>P112-Q112</f>
        <v>459533500</v>
      </c>
      <c r="S112" s="68"/>
      <c r="T112" s="69">
        <v>30000</v>
      </c>
      <c r="U112" s="8">
        <f t="shared" si="13"/>
        <v>459503500</v>
      </c>
      <c r="V112" s="70"/>
      <c r="X112" s="70"/>
    </row>
    <row r="113" spans="1:24" s="58" customFormat="1" ht="39">
      <c r="A113" s="101">
        <v>1510000</v>
      </c>
      <c r="B113" s="102"/>
      <c r="C113" s="103"/>
      <c r="D113" s="104" t="s">
        <v>212</v>
      </c>
      <c r="E113" s="81">
        <f>F113</f>
        <v>3000000</v>
      </c>
      <c r="F113" s="81">
        <f t="shared" si="21"/>
        <v>3000000</v>
      </c>
      <c r="G113" s="81">
        <f t="shared" si="21"/>
        <v>0</v>
      </c>
      <c r="H113" s="81">
        <f t="shared" si="21"/>
        <v>0</v>
      </c>
      <c r="I113" s="81">
        <f t="shared" si="21"/>
        <v>0</v>
      </c>
      <c r="J113" s="22">
        <f t="shared" si="19"/>
        <v>456533500</v>
      </c>
      <c r="K113" s="82">
        <f t="shared" si="21"/>
        <v>0</v>
      </c>
      <c r="L113" s="82">
        <f t="shared" si="21"/>
        <v>0</v>
      </c>
      <c r="M113" s="82">
        <f t="shared" si="21"/>
        <v>0</v>
      </c>
      <c r="N113" s="82">
        <f t="shared" si="21"/>
        <v>456533500</v>
      </c>
      <c r="O113" s="82">
        <f t="shared" si="21"/>
        <v>0</v>
      </c>
      <c r="P113" s="13">
        <f t="shared" si="12"/>
        <v>459533500</v>
      </c>
      <c r="Q113" s="68"/>
      <c r="R113" s="68">
        <f>P113-Q113</f>
        <v>459533500</v>
      </c>
      <c r="S113" s="68"/>
      <c r="T113" s="69"/>
      <c r="U113" s="8">
        <f t="shared" si="13"/>
        <v>459533500</v>
      </c>
      <c r="V113" s="70"/>
      <c r="X113" s="70"/>
    </row>
    <row r="114" spans="1:24" s="71" customFormat="1" ht="26.25">
      <c r="A114" s="102">
        <v>1517460</v>
      </c>
      <c r="B114" s="102">
        <v>7460</v>
      </c>
      <c r="C114" s="106"/>
      <c r="D114" s="105" t="s">
        <v>209</v>
      </c>
      <c r="E114" s="82">
        <f>F114</f>
        <v>3000000</v>
      </c>
      <c r="F114" s="82">
        <f>F115+F116</f>
        <v>3000000</v>
      </c>
      <c r="G114" s="82">
        <f>G115+G116</f>
        <v>0</v>
      </c>
      <c r="H114" s="82">
        <f>H115+H116</f>
        <v>0</v>
      </c>
      <c r="I114" s="82">
        <f>I115+I116</f>
        <v>0</v>
      </c>
      <c r="J114" s="22">
        <f t="shared" si="19"/>
        <v>456533500</v>
      </c>
      <c r="K114" s="82">
        <f>K115+K116</f>
        <v>0</v>
      </c>
      <c r="L114" s="82">
        <f>L115+L116</f>
        <v>0</v>
      </c>
      <c r="M114" s="82">
        <f>M115+M116</f>
        <v>0</v>
      </c>
      <c r="N114" s="82">
        <f>N115+N116</f>
        <v>456533500</v>
      </c>
      <c r="O114" s="82">
        <f>O115+O116</f>
        <v>0</v>
      </c>
      <c r="P114" s="13">
        <f t="shared" si="12"/>
        <v>459533500</v>
      </c>
      <c r="Q114" s="68"/>
      <c r="R114" s="68">
        <f>P114-Q114</f>
        <v>459533500</v>
      </c>
      <c r="S114" s="68"/>
      <c r="T114" s="69"/>
      <c r="U114" s="8">
        <f t="shared" si="13"/>
        <v>459533500</v>
      </c>
      <c r="V114" s="70"/>
      <c r="X114" s="70"/>
    </row>
    <row r="115" spans="1:17" s="118" customFormat="1" ht="63" customHeight="1">
      <c r="A115" s="119">
        <v>1517461</v>
      </c>
      <c r="B115" s="119">
        <v>7461</v>
      </c>
      <c r="C115" s="119" t="s">
        <v>139</v>
      </c>
      <c r="D115" s="120" t="s">
        <v>318</v>
      </c>
      <c r="E115" s="82">
        <f>F115</f>
        <v>3000000</v>
      </c>
      <c r="F115" s="82">
        <v>3000000</v>
      </c>
      <c r="G115" s="82"/>
      <c r="H115" s="82"/>
      <c r="I115" s="82"/>
      <c r="J115" s="22">
        <f t="shared" si="19"/>
        <v>0</v>
      </c>
      <c r="K115" s="82"/>
      <c r="L115" s="82"/>
      <c r="M115" s="82"/>
      <c r="N115" s="82">
        <f>O115</f>
        <v>0</v>
      </c>
      <c r="O115" s="82"/>
      <c r="P115" s="13">
        <f t="shared" si="12"/>
        <v>3000000</v>
      </c>
      <c r="Q115" s="82">
        <f>F115+K115</f>
        <v>3000000</v>
      </c>
    </row>
    <row r="116" spans="1:24" s="71" customFormat="1" ht="57" customHeight="1">
      <c r="A116" s="107">
        <v>1517462</v>
      </c>
      <c r="B116" s="107">
        <v>7462</v>
      </c>
      <c r="C116" s="108" t="s">
        <v>139</v>
      </c>
      <c r="D116" s="109" t="s">
        <v>210</v>
      </c>
      <c r="E116" s="82">
        <f>F116</f>
        <v>0</v>
      </c>
      <c r="F116" s="83"/>
      <c r="G116" s="82"/>
      <c r="H116" s="82"/>
      <c r="I116" s="83"/>
      <c r="J116" s="22">
        <f t="shared" si="19"/>
        <v>456533500</v>
      </c>
      <c r="K116" s="82"/>
      <c r="L116" s="82"/>
      <c r="M116" s="82"/>
      <c r="N116" s="82">
        <f>O116+456533500</f>
        <v>456533500</v>
      </c>
      <c r="O116" s="82"/>
      <c r="P116" s="13">
        <f t="shared" si="12"/>
        <v>456533500</v>
      </c>
      <c r="Q116" s="68"/>
      <c r="R116" s="68">
        <f>P116-Q116</f>
        <v>456533500</v>
      </c>
      <c r="S116" s="68"/>
      <c r="T116" s="69"/>
      <c r="U116" s="8">
        <f t="shared" si="13"/>
        <v>456533500</v>
      </c>
      <c r="V116" s="70"/>
      <c r="X116" s="70"/>
    </row>
    <row r="117" spans="1:24" ht="39">
      <c r="A117" s="2">
        <v>3700000</v>
      </c>
      <c r="B117" s="2"/>
      <c r="C117" s="2"/>
      <c r="D117" s="31" t="s">
        <v>120</v>
      </c>
      <c r="E117" s="33">
        <f>SUM(E118)</f>
        <v>5719796489</v>
      </c>
      <c r="F117" s="33">
        <f>SUM(F118)</f>
        <v>5715607489</v>
      </c>
      <c r="G117" s="33">
        <f aca="true" t="shared" si="22" ref="G117:O117">SUM(G118)</f>
        <v>0</v>
      </c>
      <c r="H117" s="33">
        <f t="shared" si="22"/>
        <v>0</v>
      </c>
      <c r="I117" s="33">
        <f t="shared" si="22"/>
        <v>4189000</v>
      </c>
      <c r="J117" s="33">
        <f t="shared" si="19"/>
        <v>0</v>
      </c>
      <c r="K117" s="33">
        <f t="shared" si="22"/>
        <v>0</v>
      </c>
      <c r="L117" s="33">
        <f t="shared" si="22"/>
        <v>0</v>
      </c>
      <c r="M117" s="33">
        <f t="shared" si="22"/>
        <v>0</v>
      </c>
      <c r="N117" s="33">
        <f t="shared" si="22"/>
        <v>0</v>
      </c>
      <c r="O117" s="33">
        <f t="shared" si="22"/>
        <v>0</v>
      </c>
      <c r="P117" s="13">
        <f t="shared" si="12"/>
        <v>5719796489</v>
      </c>
      <c r="Q117" s="43"/>
      <c r="R117" s="68">
        <f>P123-Q117</f>
        <v>2986220400</v>
      </c>
      <c r="S117" s="43"/>
      <c r="T117" s="5">
        <v>4390796839</v>
      </c>
      <c r="U117" s="8">
        <f t="shared" si="13"/>
        <v>1328999650</v>
      </c>
      <c r="V117" s="8">
        <v>689983509</v>
      </c>
      <c r="W117" s="6"/>
      <c r="X117" s="8"/>
    </row>
    <row r="118" spans="1:24" ht="26.25">
      <c r="A118" s="2">
        <v>3710000</v>
      </c>
      <c r="B118" s="2"/>
      <c r="C118" s="2"/>
      <c r="D118" s="31" t="s">
        <v>138</v>
      </c>
      <c r="E118" s="33">
        <f>F118+I118</f>
        <v>5719796489</v>
      </c>
      <c r="F118" s="33">
        <f>F119</f>
        <v>5715607489</v>
      </c>
      <c r="G118" s="33">
        <f>G121+G122+G129+G132+G134</f>
        <v>0</v>
      </c>
      <c r="H118" s="33">
        <f>H121+H122+H129+H132+H134</f>
        <v>0</v>
      </c>
      <c r="I118" s="33">
        <f>I121+I122+I129+I132+I134</f>
        <v>4189000</v>
      </c>
      <c r="J118" s="33">
        <f t="shared" si="19"/>
        <v>0</v>
      </c>
      <c r="K118" s="33">
        <f>K121+K122+K129+K132+K134</f>
        <v>0</v>
      </c>
      <c r="L118" s="33">
        <f>L121+L122+L129+L132+L134</f>
        <v>0</v>
      </c>
      <c r="M118" s="33">
        <f>M121+M122+M129+M132+M134</f>
        <v>0</v>
      </c>
      <c r="N118" s="33">
        <f>N121+N122+N129+N132+N134</f>
        <v>0</v>
      </c>
      <c r="O118" s="33">
        <f>O121+O122+O129+O132+O134</f>
        <v>0</v>
      </c>
      <c r="P118" s="13">
        <f t="shared" si="12"/>
        <v>5719796489</v>
      </c>
      <c r="Q118" s="43"/>
      <c r="R118" s="68">
        <f>P124-Q118</f>
        <v>104707000</v>
      </c>
      <c r="S118" s="43"/>
      <c r="T118" s="5">
        <v>10710000</v>
      </c>
      <c r="U118" s="8">
        <f t="shared" si="13"/>
        <v>5709086489</v>
      </c>
      <c r="V118" s="8">
        <f>U117-V117</f>
        <v>639016141</v>
      </c>
      <c r="W118" s="6"/>
      <c r="X118" s="8"/>
    </row>
    <row r="119" spans="1:24" s="87" customFormat="1" ht="21" customHeight="1">
      <c r="A119" s="2">
        <v>3719000</v>
      </c>
      <c r="B119" s="2">
        <v>9000</v>
      </c>
      <c r="C119" s="2"/>
      <c r="D119" s="31" t="s">
        <v>326</v>
      </c>
      <c r="E119" s="33">
        <f t="shared" si="20"/>
        <v>5719796489</v>
      </c>
      <c r="F119" s="33">
        <f>F120+F122+F129+F132+F134</f>
        <v>5715607489</v>
      </c>
      <c r="G119" s="33">
        <f>G120+G122+G129+G132+G134</f>
        <v>0</v>
      </c>
      <c r="H119" s="33">
        <f>H120+H122+H129+H132+H134</f>
        <v>0</v>
      </c>
      <c r="I119" s="33">
        <f>I120+I122+I129+I132+I134</f>
        <v>4189000</v>
      </c>
      <c r="J119" s="33">
        <f>J120</f>
        <v>0</v>
      </c>
      <c r="K119" s="33">
        <f>K120+K122+K129+K132+K134</f>
        <v>0</v>
      </c>
      <c r="L119" s="33">
        <f>L120+L122+L129+L132+L134</f>
        <v>0</v>
      </c>
      <c r="M119" s="33">
        <f>M120+M122+M129+M132+M134</f>
        <v>0</v>
      </c>
      <c r="N119" s="33">
        <f>N120+N122+N129+N132+N134</f>
        <v>0</v>
      </c>
      <c r="O119" s="33">
        <f>O120+O122+O129+O132+O134</f>
        <v>0</v>
      </c>
      <c r="P119" s="13">
        <f t="shared" si="12"/>
        <v>5719796489</v>
      </c>
      <c r="Q119" s="43"/>
      <c r="R119" s="68"/>
      <c r="S119" s="43"/>
      <c r="T119" s="8"/>
      <c r="U119" s="8"/>
      <c r="V119" s="8"/>
      <c r="W119" s="9"/>
      <c r="X119" s="8"/>
    </row>
    <row r="120" spans="1:24" s="87" customFormat="1" ht="26.25">
      <c r="A120" s="2">
        <v>3719100</v>
      </c>
      <c r="B120" s="2">
        <v>9100</v>
      </c>
      <c r="C120" s="2"/>
      <c r="D120" s="31" t="s">
        <v>325</v>
      </c>
      <c r="E120" s="33">
        <f t="shared" si="20"/>
        <v>402322140</v>
      </c>
      <c r="F120" s="33">
        <f>F121</f>
        <v>402322140</v>
      </c>
      <c r="G120" s="33">
        <f>G121</f>
        <v>0</v>
      </c>
      <c r="H120" s="33">
        <f>H121</f>
        <v>0</v>
      </c>
      <c r="I120" s="33">
        <f>I121</f>
        <v>0</v>
      </c>
      <c r="J120" s="33">
        <f t="shared" si="19"/>
        <v>0</v>
      </c>
      <c r="K120" s="33">
        <f>K121</f>
        <v>0</v>
      </c>
      <c r="L120" s="33">
        <f>L121</f>
        <v>0</v>
      </c>
      <c r="M120" s="33">
        <f>M121</f>
        <v>0</v>
      </c>
      <c r="N120" s="33">
        <f>N121</f>
        <v>0</v>
      </c>
      <c r="O120" s="33">
        <f>O121</f>
        <v>0</v>
      </c>
      <c r="P120" s="13">
        <f t="shared" si="12"/>
        <v>402322140</v>
      </c>
      <c r="Q120" s="43"/>
      <c r="R120" s="68"/>
      <c r="S120" s="43"/>
      <c r="T120" s="8"/>
      <c r="U120" s="8"/>
      <c r="V120" s="8"/>
      <c r="W120" s="9"/>
      <c r="X120" s="8"/>
    </row>
    <row r="121" spans="1:24" ht="88.5" customHeight="1">
      <c r="A121" s="7" t="s">
        <v>213</v>
      </c>
      <c r="B121" s="7" t="s">
        <v>183</v>
      </c>
      <c r="C121" s="7" t="s">
        <v>62</v>
      </c>
      <c r="D121" s="30" t="s">
        <v>171</v>
      </c>
      <c r="E121" s="22">
        <f t="shared" si="20"/>
        <v>402322140</v>
      </c>
      <c r="F121" s="22">
        <v>402322140</v>
      </c>
      <c r="G121" s="33"/>
      <c r="H121" s="33"/>
      <c r="I121" s="33"/>
      <c r="J121" s="22">
        <f t="shared" si="19"/>
        <v>0</v>
      </c>
      <c r="K121" s="33"/>
      <c r="L121" s="33"/>
      <c r="M121" s="33"/>
      <c r="N121" s="37">
        <f aca="true" t="shared" si="23" ref="N121:N131">O121</f>
        <v>0</v>
      </c>
      <c r="O121" s="33"/>
      <c r="P121" s="13">
        <f t="shared" si="12"/>
        <v>402322140</v>
      </c>
      <c r="Q121" s="43"/>
      <c r="R121" s="68"/>
      <c r="S121" s="43"/>
      <c r="T121" s="5"/>
      <c r="U121" s="8"/>
      <c r="V121" s="8"/>
      <c r="W121" s="6"/>
      <c r="X121" s="8"/>
    </row>
    <row r="122" spans="1:24" s="87" customFormat="1" ht="57" customHeight="1">
      <c r="A122" s="4" t="s">
        <v>304</v>
      </c>
      <c r="B122" s="4" t="s">
        <v>305</v>
      </c>
      <c r="C122" s="4"/>
      <c r="D122" s="32" t="s">
        <v>303</v>
      </c>
      <c r="E122" s="33">
        <f t="shared" si="20"/>
        <v>5270943700</v>
      </c>
      <c r="F122" s="33">
        <f>F123+F124+F125+F126+F127+F128</f>
        <v>5266754700</v>
      </c>
      <c r="G122" s="33">
        <f>G123+G124+G125+G126+G127+G128</f>
        <v>0</v>
      </c>
      <c r="H122" s="33">
        <f>H123+H124+H125+H126+H127+H128</f>
        <v>0</v>
      </c>
      <c r="I122" s="33">
        <f>I123+I124+I125+I126+I127+I128</f>
        <v>4189000</v>
      </c>
      <c r="J122" s="33">
        <f t="shared" si="19"/>
        <v>0</v>
      </c>
      <c r="K122" s="33">
        <f>K123+K124+K125+K126+K127+K128</f>
        <v>0</v>
      </c>
      <c r="L122" s="33">
        <f>L123+L124+L125+L126+L127+L128</f>
        <v>0</v>
      </c>
      <c r="M122" s="33">
        <f>M123+M124+M125+M126+M127+M128</f>
        <v>0</v>
      </c>
      <c r="N122" s="33">
        <f>N123+N124+N125+N126+N127+N128</f>
        <v>0</v>
      </c>
      <c r="O122" s="33">
        <f>O123+O124+O125+O126+O127+O128</f>
        <v>0</v>
      </c>
      <c r="P122" s="13">
        <f t="shared" si="12"/>
        <v>5270943700</v>
      </c>
      <c r="Q122" s="43"/>
      <c r="R122" s="68"/>
      <c r="S122" s="43"/>
      <c r="T122" s="8"/>
      <c r="U122" s="8"/>
      <c r="V122" s="8"/>
      <c r="W122" s="9"/>
      <c r="X122" s="8"/>
    </row>
    <row r="123" spans="1:24" s="58" customFormat="1" ht="159.75" customHeight="1">
      <c r="A123" s="7" t="s">
        <v>215</v>
      </c>
      <c r="B123" s="7" t="s">
        <v>173</v>
      </c>
      <c r="C123" s="7" t="s">
        <v>62</v>
      </c>
      <c r="D123" s="28" t="s">
        <v>172</v>
      </c>
      <c r="E123" s="22">
        <f t="shared" si="20"/>
        <v>2986220400</v>
      </c>
      <c r="F123" s="22">
        <v>2986220400</v>
      </c>
      <c r="G123" s="22"/>
      <c r="H123" s="22"/>
      <c r="I123" s="14"/>
      <c r="J123" s="22">
        <f t="shared" si="19"/>
        <v>0</v>
      </c>
      <c r="K123" s="22"/>
      <c r="L123" s="22"/>
      <c r="M123" s="22"/>
      <c r="N123" s="37">
        <f t="shared" si="23"/>
        <v>0</v>
      </c>
      <c r="O123" s="22"/>
      <c r="P123" s="13">
        <f t="shared" si="12"/>
        <v>2986220400</v>
      </c>
      <c r="Q123" s="68"/>
      <c r="R123" s="68" t="e">
        <f>#REF!-Q123</f>
        <v>#REF!</v>
      </c>
      <c r="S123" s="68"/>
      <c r="T123" s="69">
        <v>672191495</v>
      </c>
      <c r="U123" s="8">
        <f t="shared" si="13"/>
        <v>2314028905</v>
      </c>
      <c r="V123" s="70"/>
      <c r="X123" s="70"/>
    </row>
    <row r="124" spans="1:24" s="58" customFormat="1" ht="93" customHeight="1">
      <c r="A124" s="7" t="s">
        <v>216</v>
      </c>
      <c r="B124" s="7" t="s">
        <v>175</v>
      </c>
      <c r="C124" s="7" t="s">
        <v>62</v>
      </c>
      <c r="D124" s="28" t="s">
        <v>174</v>
      </c>
      <c r="E124" s="22">
        <f t="shared" si="20"/>
        <v>104707000</v>
      </c>
      <c r="F124" s="22">
        <v>104707000</v>
      </c>
      <c r="G124" s="22"/>
      <c r="H124" s="22"/>
      <c r="I124" s="14"/>
      <c r="J124" s="22">
        <f t="shared" si="19"/>
        <v>0</v>
      </c>
      <c r="K124" s="22"/>
      <c r="L124" s="22"/>
      <c r="M124" s="22"/>
      <c r="N124" s="37">
        <f t="shared" si="23"/>
        <v>0</v>
      </c>
      <c r="O124" s="22"/>
      <c r="P124" s="13">
        <f t="shared" si="12"/>
        <v>104707000</v>
      </c>
      <c r="Q124" s="68"/>
      <c r="R124" s="68" t="e">
        <f>#REF!-Q124</f>
        <v>#REF!</v>
      </c>
      <c r="S124" s="68"/>
      <c r="T124" s="69"/>
      <c r="U124" s="8">
        <f t="shared" si="13"/>
        <v>104707000</v>
      </c>
      <c r="V124" s="70"/>
      <c r="X124" s="70"/>
    </row>
    <row r="125" spans="1:24" s="58" customFormat="1" ht="260.25" customHeight="1">
      <c r="A125" s="7" t="s">
        <v>214</v>
      </c>
      <c r="B125" s="7" t="s">
        <v>176</v>
      </c>
      <c r="C125" s="7" t="s">
        <v>62</v>
      </c>
      <c r="D125" s="30" t="s">
        <v>301</v>
      </c>
      <c r="E125" s="22">
        <f>F125+I125</f>
        <v>2138324200</v>
      </c>
      <c r="F125" s="22">
        <v>2138324200</v>
      </c>
      <c r="G125" s="22"/>
      <c r="H125" s="22"/>
      <c r="I125" s="14"/>
      <c r="J125" s="22">
        <f>K125+N125</f>
        <v>0</v>
      </c>
      <c r="K125" s="22"/>
      <c r="L125" s="22"/>
      <c r="M125" s="22"/>
      <c r="N125" s="37">
        <f t="shared" si="23"/>
        <v>0</v>
      </c>
      <c r="O125" s="22"/>
      <c r="P125" s="13">
        <f>E125+J125</f>
        <v>2138324200</v>
      </c>
      <c r="Q125" s="68"/>
      <c r="R125" s="68">
        <f>P126-Q125</f>
        <v>22229600</v>
      </c>
      <c r="S125" s="68"/>
      <c r="T125" s="69">
        <v>17312614</v>
      </c>
      <c r="U125" s="8">
        <f>P125-T125</f>
        <v>2121011586</v>
      </c>
      <c r="V125" s="70"/>
      <c r="X125" s="70"/>
    </row>
    <row r="126" spans="1:24" s="72" customFormat="1" ht="206.25" customHeight="1">
      <c r="A126" s="7" t="s">
        <v>217</v>
      </c>
      <c r="B126" s="7" t="s">
        <v>178</v>
      </c>
      <c r="C126" s="7" t="s">
        <v>62</v>
      </c>
      <c r="D126" s="30" t="s">
        <v>177</v>
      </c>
      <c r="E126" s="22">
        <f t="shared" si="20"/>
        <v>22229600</v>
      </c>
      <c r="F126" s="22">
        <v>22229600</v>
      </c>
      <c r="G126" s="22"/>
      <c r="H126" s="22"/>
      <c r="I126" s="14"/>
      <c r="J126" s="22">
        <f t="shared" si="19"/>
        <v>0</v>
      </c>
      <c r="K126" s="22"/>
      <c r="L126" s="22"/>
      <c r="M126" s="22"/>
      <c r="N126" s="37">
        <f t="shared" si="23"/>
        <v>0</v>
      </c>
      <c r="O126" s="22"/>
      <c r="P126" s="13">
        <f t="shared" si="12"/>
        <v>22229600</v>
      </c>
      <c r="Q126" s="68"/>
      <c r="R126" s="68" t="e">
        <f>#REF!-Q126</f>
        <v>#REF!</v>
      </c>
      <c r="S126" s="68"/>
      <c r="T126" s="69"/>
      <c r="U126" s="8">
        <f t="shared" si="13"/>
        <v>22229600</v>
      </c>
      <c r="V126" s="70"/>
      <c r="X126" s="70"/>
    </row>
    <row r="127" spans="1:21" ht="102.75" customHeight="1">
      <c r="A127" s="3">
        <v>3719260</v>
      </c>
      <c r="B127" s="74" t="s">
        <v>180</v>
      </c>
      <c r="C127" s="74" t="s">
        <v>62</v>
      </c>
      <c r="D127" s="111" t="s">
        <v>179</v>
      </c>
      <c r="E127" s="22">
        <f t="shared" si="20"/>
        <v>4654400</v>
      </c>
      <c r="F127" s="75">
        <v>465400</v>
      </c>
      <c r="G127" s="75"/>
      <c r="H127" s="75"/>
      <c r="I127" s="75">
        <v>4189000</v>
      </c>
      <c r="J127" s="22">
        <f t="shared" si="19"/>
        <v>0</v>
      </c>
      <c r="K127" s="75"/>
      <c r="L127" s="76"/>
      <c r="M127" s="75"/>
      <c r="N127" s="37">
        <f t="shared" si="23"/>
        <v>0</v>
      </c>
      <c r="O127" s="75"/>
      <c r="P127" s="13">
        <f aca="true" t="shared" si="24" ref="P127:P134">E127+J127</f>
        <v>4654400</v>
      </c>
      <c r="Q127" s="42"/>
      <c r="R127" s="68">
        <f>P136-Q127</f>
        <v>8484547884</v>
      </c>
      <c r="S127" s="42"/>
      <c r="U127" s="8">
        <f aca="true" t="shared" si="25" ref="U127:U135">P128-T127</f>
        <v>14808100</v>
      </c>
    </row>
    <row r="128" spans="1:21" ht="117" customHeight="1">
      <c r="A128" s="3">
        <v>3719270</v>
      </c>
      <c r="B128" s="74" t="s">
        <v>182</v>
      </c>
      <c r="C128" s="74" t="s">
        <v>62</v>
      </c>
      <c r="D128" s="95" t="s">
        <v>181</v>
      </c>
      <c r="E128" s="22">
        <f t="shared" si="20"/>
        <v>14808100</v>
      </c>
      <c r="F128" s="75">
        <v>14808100</v>
      </c>
      <c r="G128" s="75"/>
      <c r="H128" s="75"/>
      <c r="I128" s="96"/>
      <c r="J128" s="22">
        <f t="shared" si="19"/>
        <v>0</v>
      </c>
      <c r="K128" s="75"/>
      <c r="L128" s="76"/>
      <c r="M128" s="75"/>
      <c r="N128" s="37">
        <f t="shared" si="23"/>
        <v>0</v>
      </c>
      <c r="O128" s="75"/>
      <c r="P128" s="13">
        <f t="shared" si="24"/>
        <v>14808100</v>
      </c>
      <c r="Q128" s="42"/>
      <c r="R128" s="68" t="e">
        <f>#REF!-Q128</f>
        <v>#REF!</v>
      </c>
      <c r="S128" s="42"/>
      <c r="U128" s="8" t="e">
        <f>#REF!-T128</f>
        <v>#REF!</v>
      </c>
    </row>
    <row r="129" spans="1:21" s="87" customFormat="1" ht="75.75" customHeight="1">
      <c r="A129" s="4" t="s">
        <v>307</v>
      </c>
      <c r="B129" s="115" t="s">
        <v>308</v>
      </c>
      <c r="C129" s="115"/>
      <c r="D129" s="116" t="s">
        <v>306</v>
      </c>
      <c r="E129" s="33">
        <f t="shared" si="20"/>
        <v>43036800</v>
      </c>
      <c r="F129" s="76">
        <f>F130+F131</f>
        <v>43036800</v>
      </c>
      <c r="G129" s="76">
        <f>G130+G131</f>
        <v>0</v>
      </c>
      <c r="H129" s="76">
        <f>H130+H131</f>
        <v>0</v>
      </c>
      <c r="I129" s="76">
        <f>I130+I131</f>
        <v>0</v>
      </c>
      <c r="J129" s="33">
        <f t="shared" si="19"/>
        <v>0</v>
      </c>
      <c r="K129" s="76">
        <f>K130+K131</f>
        <v>0</v>
      </c>
      <c r="L129" s="76">
        <f>L130+L131</f>
        <v>0</v>
      </c>
      <c r="M129" s="76">
        <f>M130+M131</f>
        <v>0</v>
      </c>
      <c r="N129" s="76">
        <f>N130+N131</f>
        <v>0</v>
      </c>
      <c r="O129" s="76">
        <f>O130+O131</f>
        <v>0</v>
      </c>
      <c r="P129" s="13">
        <f t="shared" si="24"/>
        <v>43036800</v>
      </c>
      <c r="Q129" s="86"/>
      <c r="R129" s="68"/>
      <c r="S129" s="86"/>
      <c r="U129" s="8"/>
    </row>
    <row r="130" spans="1:21" s="58" customFormat="1" ht="85.5" customHeight="1">
      <c r="A130" s="7" t="s">
        <v>280</v>
      </c>
      <c r="B130" s="7" t="s">
        <v>281</v>
      </c>
      <c r="C130" s="7" t="s">
        <v>62</v>
      </c>
      <c r="D130" s="30" t="s">
        <v>282</v>
      </c>
      <c r="E130" s="22">
        <f t="shared" si="20"/>
        <v>26476000</v>
      </c>
      <c r="F130" s="22">
        <v>26476000</v>
      </c>
      <c r="G130" s="22"/>
      <c r="H130" s="22"/>
      <c r="I130" s="14"/>
      <c r="J130" s="22">
        <f t="shared" si="19"/>
        <v>0</v>
      </c>
      <c r="K130" s="22"/>
      <c r="L130" s="22"/>
      <c r="M130" s="22"/>
      <c r="N130" s="37">
        <f t="shared" si="23"/>
        <v>0</v>
      </c>
      <c r="O130" s="22"/>
      <c r="P130" s="13">
        <f t="shared" si="24"/>
        <v>26476000</v>
      </c>
      <c r="Q130" s="88"/>
      <c r="R130" s="68"/>
      <c r="S130" s="88"/>
      <c r="U130" s="70">
        <f t="shared" si="25"/>
        <v>16560800</v>
      </c>
    </row>
    <row r="131" spans="1:21" s="58" customFormat="1" ht="77.25" customHeight="1">
      <c r="A131" s="7" t="s">
        <v>278</v>
      </c>
      <c r="B131" s="7" t="s">
        <v>279</v>
      </c>
      <c r="C131" s="7" t="s">
        <v>62</v>
      </c>
      <c r="D131" s="30" t="s">
        <v>277</v>
      </c>
      <c r="E131" s="22">
        <f t="shared" si="20"/>
        <v>16560800</v>
      </c>
      <c r="F131" s="22">
        <v>16560800</v>
      </c>
      <c r="G131" s="22"/>
      <c r="H131" s="22"/>
      <c r="I131" s="14"/>
      <c r="J131" s="22">
        <f t="shared" si="19"/>
        <v>0</v>
      </c>
      <c r="K131" s="22"/>
      <c r="L131" s="22"/>
      <c r="M131" s="22"/>
      <c r="N131" s="37">
        <f t="shared" si="23"/>
        <v>0</v>
      </c>
      <c r="O131" s="22"/>
      <c r="P131" s="13">
        <f t="shared" si="24"/>
        <v>16560800</v>
      </c>
      <c r="Q131" s="88"/>
      <c r="R131" s="68"/>
      <c r="S131" s="88"/>
      <c r="T131" s="58">
        <v>26711489</v>
      </c>
      <c r="U131" s="70">
        <f>P133-T131</f>
        <v>-24717640</v>
      </c>
    </row>
    <row r="132" spans="1:21" s="72" customFormat="1" ht="61.5" customHeight="1">
      <c r="A132" s="4" t="s">
        <v>310</v>
      </c>
      <c r="B132" s="4" t="s">
        <v>311</v>
      </c>
      <c r="C132" s="4"/>
      <c r="D132" s="32" t="s">
        <v>309</v>
      </c>
      <c r="E132" s="33">
        <f t="shared" si="20"/>
        <v>1993849</v>
      </c>
      <c r="F132" s="33">
        <f>F133</f>
        <v>1993849</v>
      </c>
      <c r="G132" s="33">
        <f>G133</f>
        <v>0</v>
      </c>
      <c r="H132" s="33">
        <f>H133</f>
        <v>0</v>
      </c>
      <c r="I132" s="33">
        <f>I133</f>
        <v>0</v>
      </c>
      <c r="J132" s="33">
        <f t="shared" si="19"/>
        <v>0</v>
      </c>
      <c r="K132" s="33">
        <f>K133</f>
        <v>0</v>
      </c>
      <c r="L132" s="33">
        <f>L133</f>
        <v>0</v>
      </c>
      <c r="M132" s="33">
        <f>M133</f>
        <v>0</v>
      </c>
      <c r="N132" s="33">
        <f>N133</f>
        <v>0</v>
      </c>
      <c r="O132" s="33">
        <f>O133</f>
        <v>0</v>
      </c>
      <c r="P132" s="13">
        <f t="shared" si="24"/>
        <v>1993849</v>
      </c>
      <c r="Q132" s="117"/>
      <c r="R132" s="68"/>
      <c r="S132" s="117"/>
      <c r="U132" s="70"/>
    </row>
    <row r="133" spans="1:21" ht="21" customHeight="1">
      <c r="A133" s="7" t="s">
        <v>218</v>
      </c>
      <c r="B133" s="16" t="s">
        <v>188</v>
      </c>
      <c r="C133" s="16" t="s">
        <v>62</v>
      </c>
      <c r="D133" s="29" t="s">
        <v>187</v>
      </c>
      <c r="E133" s="22">
        <f t="shared" si="20"/>
        <v>1993849</v>
      </c>
      <c r="F133" s="37">
        <v>1993849</v>
      </c>
      <c r="G133" s="37"/>
      <c r="H133" s="33"/>
      <c r="I133" s="13"/>
      <c r="J133" s="22">
        <f t="shared" si="19"/>
        <v>0</v>
      </c>
      <c r="K133" s="37"/>
      <c r="L133" s="37"/>
      <c r="M133" s="33"/>
      <c r="N133" s="37">
        <f>O133</f>
        <v>0</v>
      </c>
      <c r="O133" s="37"/>
      <c r="P133" s="13">
        <f t="shared" si="24"/>
        <v>1993849</v>
      </c>
      <c r="Q133" s="42"/>
      <c r="R133" s="42"/>
      <c r="S133" s="42"/>
      <c r="U133" s="8">
        <f t="shared" si="25"/>
        <v>1500000</v>
      </c>
    </row>
    <row r="134" spans="1:21" ht="19.5" customHeight="1">
      <c r="A134" s="4" t="s">
        <v>219</v>
      </c>
      <c r="B134" s="4"/>
      <c r="C134" s="4"/>
      <c r="D134" s="31" t="s">
        <v>13</v>
      </c>
      <c r="E134" s="33">
        <f t="shared" si="20"/>
        <v>1500000</v>
      </c>
      <c r="F134" s="33">
        <f>F135</f>
        <v>1500000</v>
      </c>
      <c r="G134" s="33">
        <f>G135</f>
        <v>0</v>
      </c>
      <c r="H134" s="33">
        <f>H135</f>
        <v>0</v>
      </c>
      <c r="I134" s="33">
        <f>I135</f>
        <v>0</v>
      </c>
      <c r="J134" s="22">
        <f t="shared" si="19"/>
        <v>0</v>
      </c>
      <c r="K134" s="33">
        <f>K135</f>
        <v>0</v>
      </c>
      <c r="L134" s="33">
        <f>L135</f>
        <v>0</v>
      </c>
      <c r="M134" s="33">
        <f>M135</f>
        <v>0</v>
      </c>
      <c r="N134" s="33">
        <f>N135</f>
        <v>0</v>
      </c>
      <c r="O134" s="33">
        <f>O135</f>
        <v>0</v>
      </c>
      <c r="P134" s="13">
        <f t="shared" si="24"/>
        <v>1500000</v>
      </c>
      <c r="Q134" s="42"/>
      <c r="R134" s="42"/>
      <c r="S134" s="42"/>
      <c r="U134" s="8">
        <f t="shared" si="25"/>
        <v>1500000</v>
      </c>
    </row>
    <row r="135" spans="1:21" ht="27" customHeight="1">
      <c r="A135" s="7" t="s">
        <v>220</v>
      </c>
      <c r="B135" s="7" t="s">
        <v>184</v>
      </c>
      <c r="C135" s="7" t="s">
        <v>61</v>
      </c>
      <c r="D135" s="30" t="s">
        <v>117</v>
      </c>
      <c r="E135" s="22">
        <f t="shared" si="20"/>
        <v>1500000</v>
      </c>
      <c r="F135" s="22">
        <v>1500000</v>
      </c>
      <c r="G135" s="22"/>
      <c r="H135" s="22"/>
      <c r="I135" s="14"/>
      <c r="J135" s="22">
        <f t="shared" si="19"/>
        <v>0</v>
      </c>
      <c r="K135" s="22"/>
      <c r="L135" s="22"/>
      <c r="M135" s="22"/>
      <c r="N135" s="22">
        <v>0</v>
      </c>
      <c r="O135" s="22">
        <v>0</v>
      </c>
      <c r="P135" s="77">
        <f>E135+J135</f>
        <v>1500000</v>
      </c>
      <c r="T135" s="1">
        <v>6702451100.93</v>
      </c>
      <c r="U135" s="8">
        <f t="shared" si="25"/>
        <v>1782096783.0699997</v>
      </c>
    </row>
    <row r="136" spans="1:16" ht="24.75" customHeight="1">
      <c r="A136" s="4"/>
      <c r="B136" s="4"/>
      <c r="C136" s="4"/>
      <c r="D136" s="31" t="s">
        <v>17</v>
      </c>
      <c r="E136" s="33">
        <f>E14+E22+E25+E42+E60+E71+E96+E101+E112+E117</f>
        <v>7889126600</v>
      </c>
      <c r="F136" s="33">
        <f>F14+F22+F25+F42+F60+F71+F96+F101+F112+F117</f>
        <v>7884937600</v>
      </c>
      <c r="G136" s="33">
        <f aca="true" t="shared" si="26" ref="G136:O136">G14+G22+G25+G42+G60+G71+G96+G101+G112+G117</f>
        <v>457448015</v>
      </c>
      <c r="H136" s="33">
        <f t="shared" si="26"/>
        <v>65327872</v>
      </c>
      <c r="I136" s="33">
        <f t="shared" si="26"/>
        <v>4189000</v>
      </c>
      <c r="J136" s="33">
        <f>K136+N136</f>
        <v>595421284</v>
      </c>
      <c r="K136" s="33">
        <f t="shared" si="26"/>
        <v>114669984</v>
      </c>
      <c r="L136" s="33">
        <f t="shared" si="26"/>
        <v>5638992</v>
      </c>
      <c r="M136" s="33">
        <f t="shared" si="26"/>
        <v>2172064</v>
      </c>
      <c r="N136" s="33">
        <f t="shared" si="26"/>
        <v>480751300</v>
      </c>
      <c r="O136" s="33">
        <f t="shared" si="26"/>
        <v>11538000</v>
      </c>
      <c r="P136" s="110">
        <f>P14+P22+P25+P42+P60+P71+P96+P101+P112+P117</f>
        <v>8484547884</v>
      </c>
    </row>
    <row r="137" spans="15:16" ht="24" customHeight="1">
      <c r="O137" s="90"/>
      <c r="P137" s="8">
        <f>F136+I136+K136+N136</f>
        <v>8484547884</v>
      </c>
    </row>
    <row r="138" spans="5:15" ht="12.75">
      <c r="E138" s="89"/>
      <c r="F138" s="89"/>
      <c r="G138" s="89"/>
      <c r="H138" s="89"/>
      <c r="I138" s="89"/>
      <c r="J138" s="89"/>
      <c r="O138" s="89"/>
    </row>
    <row r="140" ht="12.75">
      <c r="O140" s="90"/>
    </row>
    <row r="141" spans="4:16" ht="12.75">
      <c r="D141" s="84" t="s">
        <v>140</v>
      </c>
      <c r="E141" s="42">
        <f>'[3]дод 1 07.12'!$D$81</f>
        <v>7900964600</v>
      </c>
      <c r="F141" s="42"/>
      <c r="G141" s="42"/>
      <c r="H141" s="42"/>
      <c r="I141" s="42"/>
      <c r="J141" s="42">
        <f>'[3]дод 1 07.12'!$E$81</f>
        <v>583883284</v>
      </c>
      <c r="K141" s="42"/>
      <c r="L141" s="42"/>
      <c r="M141" s="42"/>
      <c r="N141" s="42"/>
      <c r="O141" s="42"/>
      <c r="P141" s="8">
        <f>E141+J141</f>
        <v>8484847884</v>
      </c>
    </row>
    <row r="142" spans="4:16" ht="12.75">
      <c r="D142" s="84" t="s">
        <v>141</v>
      </c>
      <c r="E142" s="42">
        <f>'[1]dod4 (2)'!$D$11</f>
        <v>0</v>
      </c>
      <c r="F142" s="42"/>
      <c r="G142" s="42"/>
      <c r="H142" s="42"/>
      <c r="I142" s="42"/>
      <c r="J142" s="42">
        <f>'[1]dod4 (2)'!$E$11</f>
        <v>0</v>
      </c>
      <c r="K142" s="42"/>
      <c r="L142" s="42"/>
      <c r="M142" s="42"/>
      <c r="N142" s="42"/>
      <c r="O142" s="42"/>
      <c r="P142" s="8">
        <f>E142+J142</f>
        <v>0</v>
      </c>
    </row>
    <row r="143" spans="4:16" ht="12.75">
      <c r="D143" s="84" t="s">
        <v>142</v>
      </c>
      <c r="E143" s="42">
        <f>'[2]дод.4'!$N$24</f>
        <v>300000</v>
      </c>
      <c r="F143" s="42"/>
      <c r="G143" s="42"/>
      <c r="H143" s="42"/>
      <c r="I143" s="42"/>
      <c r="J143" s="42">
        <f>'[2]дод.4'!$O$24</f>
        <v>0</v>
      </c>
      <c r="K143" s="42"/>
      <c r="L143" s="42"/>
      <c r="M143" s="42"/>
      <c r="N143" s="42"/>
      <c r="O143" s="42"/>
      <c r="P143" s="8">
        <f>E143+J143</f>
        <v>300000</v>
      </c>
    </row>
    <row r="144" spans="1:19" s="87" customFormat="1" ht="23.25" customHeight="1">
      <c r="A144" s="6"/>
      <c r="B144" s="6"/>
      <c r="C144" s="6"/>
      <c r="D144" s="84" t="s">
        <v>143</v>
      </c>
      <c r="E144" s="97">
        <f>'[1]dod4 (2)'!$D$13</f>
        <v>-11538000</v>
      </c>
      <c r="F144" s="42"/>
      <c r="G144" s="42"/>
      <c r="H144" s="42"/>
      <c r="I144" s="42"/>
      <c r="J144" s="42">
        <f>'[1]dod4 (2)'!$E$13</f>
        <v>11538000</v>
      </c>
      <c r="K144" s="42"/>
      <c r="L144" s="42"/>
      <c r="M144" s="42"/>
      <c r="N144" s="42"/>
      <c r="O144" s="42"/>
      <c r="P144" s="8">
        <f>E144+J144</f>
        <v>0</v>
      </c>
      <c r="Q144" s="9"/>
      <c r="R144" s="9"/>
      <c r="S144" s="9"/>
    </row>
    <row r="145" spans="4:16" ht="12.75">
      <c r="D145" s="84" t="s">
        <v>144</v>
      </c>
      <c r="E145" s="42">
        <f>E136</f>
        <v>7889126600</v>
      </c>
      <c r="F145" s="42"/>
      <c r="G145" s="42"/>
      <c r="H145" s="42"/>
      <c r="I145" s="42"/>
      <c r="J145" s="42">
        <f>J136</f>
        <v>595421284</v>
      </c>
      <c r="K145" s="42"/>
      <c r="L145" s="42"/>
      <c r="M145" s="42"/>
      <c r="N145" s="42"/>
      <c r="O145" s="42"/>
      <c r="P145" s="8">
        <f>E145+J145</f>
        <v>8484547884</v>
      </c>
    </row>
    <row r="146" spans="1:16" ht="12.75">
      <c r="A146" s="9"/>
      <c r="B146" s="9"/>
      <c r="C146" s="9"/>
      <c r="D146" s="85" t="s">
        <v>145</v>
      </c>
      <c r="E146" s="91">
        <f>(E141+E142)-E143+E144-E145</f>
        <v>0</v>
      </c>
      <c r="F146" s="86">
        <f aca="true" t="shared" si="27" ref="F146:P146">(F141+F142)-F143+F144-F145</f>
        <v>0</v>
      </c>
      <c r="G146" s="86">
        <f t="shared" si="27"/>
        <v>0</v>
      </c>
      <c r="H146" s="86">
        <f t="shared" si="27"/>
        <v>0</v>
      </c>
      <c r="I146" s="86">
        <f t="shared" si="27"/>
        <v>0</v>
      </c>
      <c r="J146" s="91">
        <f t="shared" si="27"/>
        <v>0</v>
      </c>
      <c r="K146" s="86">
        <f t="shared" si="27"/>
        <v>0</v>
      </c>
      <c r="L146" s="86">
        <f t="shared" si="27"/>
        <v>0</v>
      </c>
      <c r="M146" s="86">
        <f t="shared" si="27"/>
        <v>0</v>
      </c>
      <c r="N146" s="86">
        <f t="shared" si="27"/>
        <v>0</v>
      </c>
      <c r="O146" s="86">
        <f t="shared" si="27"/>
        <v>0</v>
      </c>
      <c r="P146" s="8">
        <f t="shared" si="27"/>
        <v>0</v>
      </c>
    </row>
  </sheetData>
  <sheetProtection/>
  <autoFilter ref="B14:B136"/>
  <mergeCells count="25">
    <mergeCell ref="M11:M12"/>
    <mergeCell ref="L2:P2"/>
    <mergeCell ref="L3:P3"/>
    <mergeCell ref="L4:P4"/>
    <mergeCell ref="L5:P5"/>
    <mergeCell ref="A7:P7"/>
    <mergeCell ref="A9:A12"/>
    <mergeCell ref="J9:O9"/>
    <mergeCell ref="N10:N12"/>
    <mergeCell ref="G11:G12"/>
    <mergeCell ref="L11:L12"/>
    <mergeCell ref="D9:D11"/>
    <mergeCell ref="B9:B12"/>
    <mergeCell ref="F10:F12"/>
    <mergeCell ref="O11:O12"/>
    <mergeCell ref="C9:C12"/>
    <mergeCell ref="P9:P12"/>
    <mergeCell ref="I10:I12"/>
    <mergeCell ref="L10:M10"/>
    <mergeCell ref="H11:H12"/>
    <mergeCell ref="E9:I9"/>
    <mergeCell ref="G10:H10"/>
    <mergeCell ref="J10:J12"/>
    <mergeCell ref="K10:K12"/>
    <mergeCell ref="E10:E12"/>
  </mergeCells>
  <printOptions horizontalCentered="1"/>
  <pageMargins left="0.1968503937007874" right="0" top="0.5905511811023623" bottom="0.1968503937007874" header="0" footer="0.1968503937007874"/>
  <pageSetup fitToHeight="11" horizontalDpi="600" verticalDpi="600" orientation="landscape" paperSize="9" scale="61" r:id="rId1"/>
  <headerFooter alignWithMargins="0">
    <oddFooter>&amp;R&amp;P</oddFooter>
  </headerFooter>
  <rowBreaks count="1" manualBreakCount="1">
    <brk id="12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Ричина Наталія Михайлівна</dc:creator>
  <cp:keywords/>
  <dc:description/>
  <cp:lastModifiedBy>22gfu2103</cp:lastModifiedBy>
  <cp:lastPrinted>2017-12-20T08:18:06Z</cp:lastPrinted>
  <dcterms:created xsi:type="dcterms:W3CDTF">2010-12-22T14:43:06Z</dcterms:created>
  <dcterms:modified xsi:type="dcterms:W3CDTF">2017-12-20T14:41:59Z</dcterms:modified>
  <cp:category/>
  <cp:version/>
  <cp:contentType/>
  <cp:contentStatus/>
</cp:coreProperties>
</file>