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xr:revisionPtr revIDLastSave="0" documentId="8_{33C3A474-AD18-48B7-B023-D6EF81F263D9}" xr6:coauthVersionLast="40" xr6:coauthVersionMax="40" xr10:uidLastSave="{00000000-0000-0000-0000-000000000000}"/>
  <bookViews>
    <workbookView xWindow="5970" yWindow="5970" windowWidth="15375" windowHeight="10200" tabRatio="945"/>
  </bookViews>
  <sheets>
    <sheet name="дод 3" sheetId="9" r:id="rId1"/>
  </sheets>
  <externalReferences>
    <externalReference r:id="rId2"/>
    <externalReference r:id="rId3"/>
    <externalReference r:id="rId4"/>
  </externalReferences>
  <definedNames>
    <definedName name="_xlnm._FilterDatabase" localSheetId="0" hidden="1">'дод 3'!$B$14:$B$183</definedName>
    <definedName name="Z_262A3912_DD70_4B2A_8782_11241825DD41_.wvu.FilterData" localSheetId="0" hidden="1">'дод 3'!#REF!</definedName>
    <definedName name="Z_262A3912_DD70_4B2A_8782_11241825DD41_.wvu.PrintArea" localSheetId="0" hidden="1">'дод 3'!$B$2:$P$183</definedName>
    <definedName name="Z_262A3912_DD70_4B2A_8782_11241825DD41_.wvu.PrintTitles" localSheetId="0" hidden="1">'дод 3'!$9:$13</definedName>
    <definedName name="Z_55DE217F_7BCE_4030_A378_BBDB19AA32BC_.wvu.FilterData" localSheetId="0" hidden="1">'дод 3'!#REF!</definedName>
    <definedName name="Z_55DE217F_7BCE_4030_A378_BBDB19AA32BC_.wvu.PrintArea" localSheetId="0" hidden="1">'дод 3'!$B$2:$P$183</definedName>
    <definedName name="Z_55DE217F_7BCE_4030_A378_BBDB19AA32BC_.wvu.PrintTitles" localSheetId="0" hidden="1">'дод 3'!$9:$13</definedName>
    <definedName name="Z_8C514651_C019_48EB_BC9A_5CF7A7C062C3_.wvu.FilterData" localSheetId="0" hidden="1">'дод 3'!#REF!</definedName>
    <definedName name="Z_8C514651_C019_48EB_BC9A_5CF7A7C062C3_.wvu.PrintArea" localSheetId="0" hidden="1">'дод 3'!$B$2:$P$183</definedName>
    <definedName name="Z_8C514651_C019_48EB_BC9A_5CF7A7C062C3_.wvu.PrintTitles" localSheetId="0" hidden="1">'дод 3'!$9:$13</definedName>
    <definedName name="Z_A2EE22D5_0D01_4651_974A_DBB0B47E334C_.wvu.FilterData" localSheetId="0" hidden="1">'дод 3'!#REF!</definedName>
    <definedName name="Z_A2EE22D5_0D01_4651_974A_DBB0B47E334C_.wvu.PrintArea" localSheetId="0" hidden="1">'дод 3'!$B$2:$P$183</definedName>
    <definedName name="Z_A2EE22D5_0D01_4651_974A_DBB0B47E334C_.wvu.PrintTitles" localSheetId="0" hidden="1">'дод 3'!$9:$13</definedName>
    <definedName name="Z_B9ABD3DA_D8E6_4359_B122_CA96965080C7_.wvu.FilterData" localSheetId="0" hidden="1">'дод 3'!#REF!</definedName>
    <definedName name="Z_B9ABD3DA_D8E6_4359_B122_CA96965080C7_.wvu.PrintArea" localSheetId="0" hidden="1">'дод 3'!$B$2:$P$183</definedName>
    <definedName name="Z_B9ABD3DA_D8E6_4359_B122_CA96965080C7_.wvu.PrintTitles" localSheetId="0" hidden="1">'дод 3'!$9:$13</definedName>
    <definedName name="Z_CEC3A13C_C991_47CB_8169_8518E6DF0FD0_.wvu.FilterData" localSheetId="0" hidden="1">'дод 3'!#REF!</definedName>
    <definedName name="Z_CEC3A13C_C991_47CB_8169_8518E6DF0FD0_.wvu.PrintArea" localSheetId="0" hidden="1">'дод 3'!$B$2:$P$183</definedName>
    <definedName name="Z_CEC3A13C_C991_47CB_8169_8518E6DF0FD0_.wvu.PrintTitles" localSheetId="0" hidden="1">'дод 3'!$9:$13</definedName>
    <definedName name="Z_D73D0E9B_2717_48D0_8E2C_FF64265ACAB1_.wvu.FilterData" localSheetId="0" hidden="1">'дод 3'!#REF!</definedName>
    <definedName name="Z_D73D0E9B_2717_48D0_8E2C_FF64265ACAB1_.wvu.PrintArea" localSheetId="0" hidden="1">'дод 3'!$B$2:$P$183</definedName>
    <definedName name="Z_D73D0E9B_2717_48D0_8E2C_FF64265ACAB1_.wvu.PrintTitles" localSheetId="0" hidden="1">'дод 3'!$9:$13</definedName>
    <definedName name="Z_EBAA2E10_33D1_4ABA_B856_04E6905A93CB_.wvu.FilterData" localSheetId="0" hidden="1">'дод 3'!#REF!</definedName>
    <definedName name="Z_EBAA2E10_33D1_4ABA_B856_04E6905A93CB_.wvu.PrintArea" localSheetId="0" hidden="1">'дод 3'!$B$2:$P$183</definedName>
    <definedName name="Z_EBAA2E10_33D1_4ABA_B856_04E6905A93CB_.wvu.PrintTitles" localSheetId="0" hidden="1">'дод 3'!$9:$13</definedName>
    <definedName name="_xlnm.Print_Titles" localSheetId="0">'дод 3'!$9:$13</definedName>
    <definedName name="_xlnm.Print_Area" localSheetId="0">'дод 3'!$A$2:$P$183</definedName>
  </definedNames>
  <calcPr calcId="181029" fullCalcOnLoad="1"/>
  <customWorkbookViews>
    <customWorkbookView name="pmv03 - Личное представление" guid="{2C8A675D-81DA-4092-B0A7-BDDA097E8064}" mergeInterval="0" personalView="1" maximized="1" windowWidth="1020" windowHeight="570" tabRatio="945" activeSheetId="7"/>
    <customWorkbookView name="kmv03 - Личное представление" guid="{8C514651-C019-48EB-BC9A-5CF7A7C062C3}" mergeInterval="0" personalView="1" maximized="1" windowWidth="1276" windowHeight="825" tabRatio="945" activeSheetId="7"/>
    <customWorkbookView name="admin - Личное представление" guid="{A2EE22D5-0D01-4651-974A-DBB0B47E334C}" mergeInterval="0" personalView="1" maximized="1" windowWidth="1916" windowHeight="900" tabRatio="945" activeSheetId="7"/>
    <customWorkbookView name="vom03 - Личное представление" guid="{CEC3A13C-C991-47CB-8169-8518E6DF0FD0}" mergeInterval="0" personalView="1" maximized="1" windowWidth="1276" windowHeight="826" tabRatio="945" activeSheetId="7"/>
    <customWorkbookView name="dsv03 - Личное представление" guid="{04AA40B6-9CCF-468B-B9E0-3925FF26B598}" mergeInterval="0" personalView="1" maximized="1" windowWidth="1276" windowHeight="852" tabRatio="945" activeSheetId="7"/>
    <customWorkbookView name="dsm03 - Личное представление" guid="{D73D0E9B-2717-48D0-8E2C-FF64265ACAB1}" mergeInterval="0" personalView="1" maximized="1" windowWidth="1020" windowHeight="596" tabRatio="945" activeSheetId="6"/>
    <customWorkbookView name="iov03 - Личное представление" guid="{55DE217F-7BCE-4030-A378-BBDB19AA32BC}" mergeInterval="0" personalView="1" maximized="1" windowWidth="1276" windowHeight="852" tabRatio="945" activeSheetId="7"/>
    <customWorkbookView name="jom03 - Личное представление" guid="{EBAA2E10-33D1-4ABA-B856-04E6905A93CB}" mergeInterval="0" personalView="1" maximized="1" windowWidth="1276" windowHeight="800" tabRatio="945" activeSheetId="7"/>
    <customWorkbookView name="ozom03 - Личное представление" guid="{262A3912-DD70-4B2A-8782-11241825DD41}" mergeInterval="0" personalView="1" maximized="1" windowWidth="1276" windowHeight="848" tabRatio="945" activeSheetId="7"/>
    <customWorkbookView name="gvm03 - Личное представление" guid="{B9ABD3DA-D8E6-4359-B122-CA96965080C7}" mergeInterval="0" personalView="1" maximized="1" windowWidth="1916" windowHeight="847" tabRatio="945" activeSheetId="7"/>
  </customWorkbookViews>
</workbook>
</file>

<file path=xl/calcChain.xml><?xml version="1.0" encoding="utf-8"?>
<calcChain xmlns="http://schemas.openxmlformats.org/spreadsheetml/2006/main">
  <c r="K46" i="9" l="1"/>
  <c r="K57" i="9"/>
  <c r="K59" i="9"/>
  <c r="K45" i="9"/>
  <c r="K171" i="9"/>
  <c r="K68" i="9"/>
  <c r="L169" i="9"/>
  <c r="M169" i="9"/>
  <c r="N169" i="9"/>
  <c r="O171" i="9"/>
  <c r="O169" i="9" s="1"/>
  <c r="J169" i="9" s="1"/>
  <c r="K169" i="9"/>
  <c r="G169" i="9"/>
  <c r="H169" i="9"/>
  <c r="I169" i="9"/>
  <c r="L17" i="9"/>
  <c r="L20" i="9"/>
  <c r="L23" i="9"/>
  <c r="L15" i="9"/>
  <c r="M17" i="9"/>
  <c r="M20" i="9"/>
  <c r="M23" i="9"/>
  <c r="M15" i="9"/>
  <c r="N17" i="9"/>
  <c r="N20" i="9"/>
  <c r="N23" i="9"/>
  <c r="N15" i="9"/>
  <c r="K16" i="9"/>
  <c r="O16" i="9"/>
  <c r="O18" i="9"/>
  <c r="O17" i="9"/>
  <c r="O19" i="9"/>
  <c r="O21" i="9"/>
  <c r="O20" i="9" s="1"/>
  <c r="O25" i="9"/>
  <c r="J25" i="9" s="1"/>
  <c r="P25" i="9" s="1"/>
  <c r="K24" i="9"/>
  <c r="O24" i="9"/>
  <c r="O23" i="9" s="1"/>
  <c r="K22" i="9"/>
  <c r="O22" i="9" s="1"/>
  <c r="K17" i="9"/>
  <c r="K20" i="9"/>
  <c r="K23" i="9"/>
  <c r="K15" i="9"/>
  <c r="G17" i="9"/>
  <c r="G20" i="9"/>
  <c r="G23" i="9"/>
  <c r="G15" i="9"/>
  <c r="H17" i="9"/>
  <c r="H20" i="9"/>
  <c r="H23" i="9"/>
  <c r="H15" i="9"/>
  <c r="I17" i="9"/>
  <c r="I20" i="9"/>
  <c r="I23" i="9"/>
  <c r="I15" i="9"/>
  <c r="F18" i="9"/>
  <c r="F17" i="9"/>
  <c r="F15" i="9" s="1"/>
  <c r="F19" i="9"/>
  <c r="F20" i="9"/>
  <c r="F24" i="9"/>
  <c r="F23" i="9"/>
  <c r="E25" i="9"/>
  <c r="F36" i="9"/>
  <c r="K29" i="9"/>
  <c r="K30" i="9"/>
  <c r="K31" i="9"/>
  <c r="K32" i="9"/>
  <c r="K33" i="9"/>
  <c r="K38" i="9"/>
  <c r="K37" i="9"/>
  <c r="K39" i="9"/>
  <c r="K27" i="9"/>
  <c r="K26" i="9" s="1"/>
  <c r="K144" i="9"/>
  <c r="K146" i="9"/>
  <c r="K152" i="9"/>
  <c r="K161" i="9"/>
  <c r="K167" i="9"/>
  <c r="K174" i="9"/>
  <c r="K178" i="9"/>
  <c r="K172" i="9"/>
  <c r="K143" i="9" s="1"/>
  <c r="K142" i="9" s="1"/>
  <c r="K181" i="9"/>
  <c r="K141" i="9"/>
  <c r="K14" i="9"/>
  <c r="K48" i="9"/>
  <c r="O48" i="9" s="1"/>
  <c r="K50" i="9"/>
  <c r="K51" i="9"/>
  <c r="K56" i="9"/>
  <c r="K55" i="9"/>
  <c r="K58" i="9"/>
  <c r="K61" i="9"/>
  <c r="K60" i="9" s="1"/>
  <c r="K67" i="9"/>
  <c r="K72" i="9"/>
  <c r="K75" i="9"/>
  <c r="K79" i="9"/>
  <c r="K78" i="9" s="1"/>
  <c r="K77" i="9" s="1"/>
  <c r="K88" i="9"/>
  <c r="K89" i="9"/>
  <c r="K90" i="9"/>
  <c r="K83" i="9"/>
  <c r="K82" i="9" s="1"/>
  <c r="K96" i="9"/>
  <c r="K98" i="9"/>
  <c r="K97" i="9" s="1"/>
  <c r="K99" i="9"/>
  <c r="K102" i="9"/>
  <c r="K101" i="9"/>
  <c r="K103" i="9"/>
  <c r="K106" i="9"/>
  <c r="K110" i="9"/>
  <c r="K109" i="9"/>
  <c r="K113" i="9"/>
  <c r="K115" i="9"/>
  <c r="K122" i="9"/>
  <c r="K121" i="9"/>
  <c r="K123" i="9"/>
  <c r="K119" i="9"/>
  <c r="K118" i="9" s="1"/>
  <c r="K127" i="9"/>
  <c r="K126" i="9" s="1"/>
  <c r="K136" i="9"/>
  <c r="K135" i="9"/>
  <c r="K134" i="9"/>
  <c r="K133" i="9" s="1"/>
  <c r="K130" i="9"/>
  <c r="K129" i="9" s="1"/>
  <c r="J191" i="9"/>
  <c r="L136" i="9"/>
  <c r="M136" i="9"/>
  <c r="M134" i="9" s="1"/>
  <c r="N136" i="9"/>
  <c r="N134" i="9" s="1"/>
  <c r="N133" i="9" s="1"/>
  <c r="O138" i="9"/>
  <c r="O136" i="9"/>
  <c r="O135" i="9"/>
  <c r="G136" i="9"/>
  <c r="G134" i="9" s="1"/>
  <c r="H136" i="9"/>
  <c r="H134" i="9" s="1"/>
  <c r="I136" i="9"/>
  <c r="F136" i="9"/>
  <c r="F140" i="9"/>
  <c r="F135" i="9"/>
  <c r="E191" i="9"/>
  <c r="J189" i="9"/>
  <c r="E189" i="9"/>
  <c r="J190" i="9"/>
  <c r="P190" i="9" s="1"/>
  <c r="E190" i="9"/>
  <c r="F28" i="9"/>
  <c r="F29" i="9"/>
  <c r="F30" i="9"/>
  <c r="F31" i="9"/>
  <c r="F32" i="9"/>
  <c r="F33" i="9"/>
  <c r="F35" i="9"/>
  <c r="F38" i="9"/>
  <c r="F37" i="9"/>
  <c r="F39" i="9"/>
  <c r="F27" i="9"/>
  <c r="F26" i="9" s="1"/>
  <c r="I37" i="9"/>
  <c r="I39" i="9"/>
  <c r="I27" i="9"/>
  <c r="I26" i="9" s="1"/>
  <c r="E26" i="9"/>
  <c r="R27" i="9" s="1"/>
  <c r="F171" i="9"/>
  <c r="F169" i="9" s="1"/>
  <c r="F144" i="9"/>
  <c r="F146" i="9"/>
  <c r="F152" i="9"/>
  <c r="F164" i="9"/>
  <c r="F161" i="9"/>
  <c r="F167" i="9"/>
  <c r="F176" i="9"/>
  <c r="F177" i="9"/>
  <c r="F178" i="9"/>
  <c r="E178" i="9" s="1"/>
  <c r="P178" i="9" s="1"/>
  <c r="F179" i="9"/>
  <c r="F172" i="9"/>
  <c r="F181" i="9"/>
  <c r="I144" i="9"/>
  <c r="I146" i="9"/>
  <c r="I152" i="9"/>
  <c r="I161" i="9"/>
  <c r="I167" i="9"/>
  <c r="I172" i="9"/>
  <c r="I181" i="9"/>
  <c r="F14" i="9"/>
  <c r="I14" i="9"/>
  <c r="E14" i="9"/>
  <c r="F45" i="9"/>
  <c r="F46" i="9"/>
  <c r="F47" i="9"/>
  <c r="F48" i="9"/>
  <c r="F50" i="9"/>
  <c r="F51" i="9"/>
  <c r="F53" i="9"/>
  <c r="F54" i="9"/>
  <c r="F57" i="9"/>
  <c r="F55" i="9"/>
  <c r="F58" i="9"/>
  <c r="F60" i="9"/>
  <c r="I55" i="9"/>
  <c r="I58" i="9"/>
  <c r="I60" i="9"/>
  <c r="I43" i="9"/>
  <c r="I42" i="9" s="1"/>
  <c r="F68" i="9"/>
  <c r="F66" i="9"/>
  <c r="F74" i="9"/>
  <c r="F72" i="9"/>
  <c r="F75" i="9"/>
  <c r="F64" i="9"/>
  <c r="F63" i="9" s="1"/>
  <c r="I66" i="9"/>
  <c r="I72" i="9"/>
  <c r="I75" i="9"/>
  <c r="E75" i="9" s="1"/>
  <c r="P75" i="9" s="1"/>
  <c r="R75" i="9" s="1"/>
  <c r="F81" i="9"/>
  <c r="F79" i="9" s="1"/>
  <c r="F78" i="9" s="1"/>
  <c r="F77" i="9" s="1"/>
  <c r="I79" i="9"/>
  <c r="I78" i="9" s="1"/>
  <c r="I77" i="9" s="1"/>
  <c r="F85" i="9"/>
  <c r="F86" i="9"/>
  <c r="F87" i="9"/>
  <c r="F88" i="9"/>
  <c r="F89" i="9"/>
  <c r="F91" i="9"/>
  <c r="F92" i="9"/>
  <c r="F90" i="9" s="1"/>
  <c r="I90" i="9"/>
  <c r="I83" i="9" s="1"/>
  <c r="I82" i="9" s="1"/>
  <c r="F96" i="9"/>
  <c r="F95" i="9" s="1"/>
  <c r="F97" i="9"/>
  <c r="F99" i="9"/>
  <c r="F102" i="9"/>
  <c r="F101" i="9" s="1"/>
  <c r="F103" i="9"/>
  <c r="F106" i="9"/>
  <c r="F112" i="9"/>
  <c r="F109" i="9" s="1"/>
  <c r="F114" i="9"/>
  <c r="F113" i="9" s="1"/>
  <c r="F115" i="9"/>
  <c r="I95" i="9"/>
  <c r="I97" i="9"/>
  <c r="I99" i="9"/>
  <c r="I101" i="9"/>
  <c r="I103" i="9"/>
  <c r="I106" i="9"/>
  <c r="I109" i="9"/>
  <c r="I113" i="9"/>
  <c r="I115" i="9"/>
  <c r="I94" i="9"/>
  <c r="I93" i="9" s="1"/>
  <c r="F121" i="9"/>
  <c r="F123" i="9"/>
  <c r="F119" i="9" s="1"/>
  <c r="F118" i="9" s="1"/>
  <c r="E118" i="9" s="1"/>
  <c r="I121" i="9"/>
  <c r="I123" i="9"/>
  <c r="I119" i="9" s="1"/>
  <c r="I118" i="9"/>
  <c r="F127" i="9"/>
  <c r="F126" i="9" s="1"/>
  <c r="I127" i="9"/>
  <c r="I126" i="9" s="1"/>
  <c r="E126" i="9" s="1"/>
  <c r="F130" i="9"/>
  <c r="I130" i="9"/>
  <c r="E130" i="9" s="1"/>
  <c r="J188" i="9"/>
  <c r="E188" i="9"/>
  <c r="P188" i="9" s="1"/>
  <c r="L152" i="9"/>
  <c r="L161" i="9"/>
  <c r="L168" i="9"/>
  <c r="L167" i="9" s="1"/>
  <c r="L180" i="9"/>
  <c r="M152" i="9"/>
  <c r="M161" i="9"/>
  <c r="M167" i="9"/>
  <c r="M172" i="9"/>
  <c r="N152" i="9"/>
  <c r="N161" i="9"/>
  <c r="N167" i="9"/>
  <c r="N172" i="9"/>
  <c r="U145" i="9"/>
  <c r="O170" i="9"/>
  <c r="O159" i="9"/>
  <c r="O160" i="9"/>
  <c r="O154" i="9"/>
  <c r="J154" i="9" s="1"/>
  <c r="O155" i="9"/>
  <c r="O156" i="9"/>
  <c r="J156" i="9" s="1"/>
  <c r="O157" i="9"/>
  <c r="O158" i="9"/>
  <c r="J158" i="9" s="1"/>
  <c r="O162" i="9"/>
  <c r="O166" i="9"/>
  <c r="O163" i="9"/>
  <c r="O164" i="9"/>
  <c r="O161" i="9"/>
  <c r="O168" i="9"/>
  <c r="O167" i="9"/>
  <c r="O173" i="9"/>
  <c r="O174" i="9"/>
  <c r="O175" i="9"/>
  <c r="O176" i="9"/>
  <c r="O177" i="9"/>
  <c r="O178" i="9"/>
  <c r="O179" i="9"/>
  <c r="O180" i="9"/>
  <c r="E169" i="9"/>
  <c r="P169" i="9" s="1"/>
  <c r="E152" i="9"/>
  <c r="J161" i="9"/>
  <c r="E167" i="9"/>
  <c r="X145" i="9"/>
  <c r="Y145" i="9"/>
  <c r="L144" i="9"/>
  <c r="L146" i="9"/>
  <c r="M144" i="9"/>
  <c r="M146" i="9"/>
  <c r="M143" i="9"/>
  <c r="N144" i="9"/>
  <c r="N146" i="9"/>
  <c r="O145" i="9"/>
  <c r="O144" i="9" s="1"/>
  <c r="O147" i="9"/>
  <c r="O148" i="9"/>
  <c r="O149" i="9"/>
  <c r="J149" i="9" s="1"/>
  <c r="O151" i="9"/>
  <c r="O150" i="9"/>
  <c r="G144" i="9"/>
  <c r="G146" i="9"/>
  <c r="G152" i="9"/>
  <c r="G161" i="9"/>
  <c r="G167" i="9"/>
  <c r="G172" i="9"/>
  <c r="H144" i="9"/>
  <c r="H146" i="9"/>
  <c r="H152" i="9"/>
  <c r="H161" i="9"/>
  <c r="H167" i="9"/>
  <c r="H172" i="9"/>
  <c r="H143" i="9"/>
  <c r="J148" i="9"/>
  <c r="J150" i="9"/>
  <c r="J151" i="9"/>
  <c r="J153" i="9"/>
  <c r="J155" i="9"/>
  <c r="J157" i="9"/>
  <c r="J159" i="9"/>
  <c r="J160" i="9"/>
  <c r="J162" i="9"/>
  <c r="J163" i="9"/>
  <c r="J164" i="9"/>
  <c r="P164" i="9" s="1"/>
  <c r="J165" i="9"/>
  <c r="J166" i="9"/>
  <c r="J168" i="9"/>
  <c r="J170" i="9"/>
  <c r="P170" i="9" s="1"/>
  <c r="J171" i="9"/>
  <c r="J173" i="9"/>
  <c r="J174" i="9"/>
  <c r="J175" i="9"/>
  <c r="J176" i="9"/>
  <c r="J177" i="9"/>
  <c r="J178" i="9"/>
  <c r="J179" i="9"/>
  <c r="L181" i="9"/>
  <c r="O181" i="9"/>
  <c r="J181" i="9"/>
  <c r="J182" i="9"/>
  <c r="E165" i="9"/>
  <c r="P165" i="9" s="1"/>
  <c r="L55" i="9"/>
  <c r="L58" i="9"/>
  <c r="L60" i="9"/>
  <c r="M55" i="9"/>
  <c r="M58" i="9"/>
  <c r="M60" i="9"/>
  <c r="N55" i="9"/>
  <c r="N58" i="9"/>
  <c r="N60" i="9"/>
  <c r="O57" i="9"/>
  <c r="O56" i="9"/>
  <c r="O55" i="9"/>
  <c r="O44" i="9"/>
  <c r="O45" i="9"/>
  <c r="O46" i="9"/>
  <c r="O47" i="9"/>
  <c r="O49" i="9"/>
  <c r="J49" i="9" s="1"/>
  <c r="P49" i="9" s="1"/>
  <c r="O50" i="9"/>
  <c r="O51" i="9"/>
  <c r="J51" i="9" s="1"/>
  <c r="P51" i="9" s="1"/>
  <c r="O52" i="9"/>
  <c r="O53" i="9"/>
  <c r="J53" i="9" s="1"/>
  <c r="P53" i="9" s="1"/>
  <c r="O54" i="9"/>
  <c r="O59" i="9"/>
  <c r="O62" i="9"/>
  <c r="G55" i="9"/>
  <c r="G58" i="9"/>
  <c r="G60" i="9"/>
  <c r="H55" i="9"/>
  <c r="H58" i="9"/>
  <c r="H60" i="9"/>
  <c r="R15" i="9"/>
  <c r="E164" i="9"/>
  <c r="L14" i="9"/>
  <c r="L37" i="9"/>
  <c r="L39" i="9"/>
  <c r="L27" i="9" s="1"/>
  <c r="O28" i="9"/>
  <c r="O29" i="9"/>
  <c r="O30" i="9"/>
  <c r="O31" i="9"/>
  <c r="O32" i="9"/>
  <c r="O33" i="9"/>
  <c r="O34" i="9"/>
  <c r="O35" i="9"/>
  <c r="O36" i="9"/>
  <c r="O38" i="9"/>
  <c r="O40" i="9"/>
  <c r="J40" i="9" s="1"/>
  <c r="O41" i="9"/>
  <c r="O39" i="9"/>
  <c r="L66" i="9"/>
  <c r="L72" i="9"/>
  <c r="L75" i="9"/>
  <c r="L64" i="9"/>
  <c r="L63" i="9" s="1"/>
  <c r="O65" i="9"/>
  <c r="O68" i="9"/>
  <c r="J68" i="9" s="1"/>
  <c r="O70" i="9"/>
  <c r="O71" i="9"/>
  <c r="O73" i="9"/>
  <c r="O74" i="9"/>
  <c r="O72" i="9"/>
  <c r="O75" i="9"/>
  <c r="L79" i="9"/>
  <c r="L78" i="9" s="1"/>
  <c r="L77" i="9"/>
  <c r="O80" i="9"/>
  <c r="O81" i="9"/>
  <c r="O79" i="9" s="1"/>
  <c r="O78" i="9" s="1"/>
  <c r="L90" i="9"/>
  <c r="L83" i="9" s="1"/>
  <c r="L82" i="9"/>
  <c r="O84" i="9"/>
  <c r="O85" i="9"/>
  <c r="O83" i="9" s="1"/>
  <c r="O86" i="9"/>
  <c r="O87" i="9"/>
  <c r="J87" i="9" s="1"/>
  <c r="O88" i="9"/>
  <c r="O89" i="9"/>
  <c r="O91" i="9"/>
  <c r="O92" i="9"/>
  <c r="O90" i="9" s="1"/>
  <c r="J90" i="9" s="1"/>
  <c r="P90" i="9" s="1"/>
  <c r="L95" i="9"/>
  <c r="L97" i="9"/>
  <c r="L99" i="9"/>
  <c r="L101" i="9"/>
  <c r="L103" i="9"/>
  <c r="L106" i="9"/>
  <c r="L109" i="9"/>
  <c r="L113" i="9"/>
  <c r="L115" i="9"/>
  <c r="O98" i="9"/>
  <c r="O97" i="9"/>
  <c r="O100" i="9"/>
  <c r="O99" i="9"/>
  <c r="O102" i="9"/>
  <c r="O101" i="9"/>
  <c r="O104" i="9"/>
  <c r="O105" i="9"/>
  <c r="O103" i="9" s="1"/>
  <c r="O107" i="9"/>
  <c r="J107" i="9" s="1"/>
  <c r="O108" i="9"/>
  <c r="O106" i="9"/>
  <c r="O110" i="9"/>
  <c r="O111" i="9"/>
  <c r="J111" i="9" s="1"/>
  <c r="O112" i="9"/>
  <c r="O109" i="9"/>
  <c r="J109" i="9" s="1"/>
  <c r="O114" i="9"/>
  <c r="O113" i="9"/>
  <c r="J113" i="9" s="1"/>
  <c r="O116" i="9"/>
  <c r="O117" i="9"/>
  <c r="O115" i="9" s="1"/>
  <c r="J115" i="9" s="1"/>
  <c r="L121" i="9"/>
  <c r="L125" i="9"/>
  <c r="L124" i="9"/>
  <c r="L123" i="9" s="1"/>
  <c r="L119" i="9"/>
  <c r="L118" i="9" s="1"/>
  <c r="J118" i="9" s="1"/>
  <c r="O120" i="9"/>
  <c r="O122" i="9"/>
  <c r="O121" i="9"/>
  <c r="O125" i="9"/>
  <c r="O124" i="9"/>
  <c r="O123" i="9" s="1"/>
  <c r="O119" i="9"/>
  <c r="O118" i="9" s="1"/>
  <c r="L127" i="9"/>
  <c r="O128" i="9"/>
  <c r="O127" i="9" s="1"/>
  <c r="O126" i="9"/>
  <c r="L132" i="9"/>
  <c r="L130" i="9"/>
  <c r="L129" i="9" s="1"/>
  <c r="O130" i="9"/>
  <c r="J130" i="9"/>
  <c r="P130" i="9" s="1"/>
  <c r="E15" i="9"/>
  <c r="E59" i="9"/>
  <c r="J135" i="9"/>
  <c r="E135" i="9"/>
  <c r="P135" i="9"/>
  <c r="U135" i="9" s="1"/>
  <c r="M121" i="9"/>
  <c r="M123" i="9"/>
  <c r="M119" i="9"/>
  <c r="M118" i="9" s="1"/>
  <c r="N121" i="9"/>
  <c r="N123" i="9"/>
  <c r="N119" i="9" s="1"/>
  <c r="N118" i="9" s="1"/>
  <c r="G121" i="9"/>
  <c r="G123" i="9"/>
  <c r="G119" i="9"/>
  <c r="G118" i="9" s="1"/>
  <c r="H121" i="9"/>
  <c r="H123" i="9"/>
  <c r="H119" i="9" s="1"/>
  <c r="E61" i="9"/>
  <c r="J22" i="9"/>
  <c r="E22" i="9"/>
  <c r="P22" i="9" s="1"/>
  <c r="E23" i="9"/>
  <c r="E24" i="9"/>
  <c r="J23" i="9"/>
  <c r="J24" i="9"/>
  <c r="P24" i="9" s="1"/>
  <c r="E177" i="9"/>
  <c r="P177" i="9" s="1"/>
  <c r="E175" i="9"/>
  <c r="P175" i="9" s="1"/>
  <c r="E176" i="9"/>
  <c r="P176" i="9" s="1"/>
  <c r="E179" i="9"/>
  <c r="P179" i="9" s="1"/>
  <c r="E174" i="9"/>
  <c r="P174" i="9" s="1"/>
  <c r="E173" i="9"/>
  <c r="P173" i="9" s="1"/>
  <c r="E170" i="9"/>
  <c r="E168" i="9"/>
  <c r="P168" i="9"/>
  <c r="E140" i="9"/>
  <c r="J140" i="9"/>
  <c r="P140" i="9" s="1"/>
  <c r="E139" i="9"/>
  <c r="J139" i="9"/>
  <c r="P139" i="9"/>
  <c r="U139" i="9" s="1"/>
  <c r="J137" i="9"/>
  <c r="E137" i="9"/>
  <c r="P137" i="9"/>
  <c r="G133" i="9"/>
  <c r="G14" i="9"/>
  <c r="G31" i="9"/>
  <c r="G36" i="9"/>
  <c r="G37" i="9"/>
  <c r="G39" i="9"/>
  <c r="G27" i="9"/>
  <c r="G26" i="9" s="1"/>
  <c r="G66" i="9"/>
  <c r="G72" i="9"/>
  <c r="G75" i="9"/>
  <c r="G64" i="9"/>
  <c r="G63" i="9" s="1"/>
  <c r="G79" i="9"/>
  <c r="G78" i="9" s="1"/>
  <c r="G77" i="9" s="1"/>
  <c r="G90" i="9"/>
  <c r="G83" i="9"/>
  <c r="G82" i="9" s="1"/>
  <c r="G95" i="9"/>
  <c r="G97" i="9"/>
  <c r="G99" i="9"/>
  <c r="G101" i="9"/>
  <c r="G103" i="9"/>
  <c r="G106" i="9"/>
  <c r="G109" i="9"/>
  <c r="G113" i="9"/>
  <c r="G115" i="9"/>
  <c r="G127" i="9"/>
  <c r="G126" i="9" s="1"/>
  <c r="G181" i="9"/>
  <c r="G130" i="9"/>
  <c r="H133" i="9"/>
  <c r="H14" i="9"/>
  <c r="H37" i="9"/>
  <c r="H39" i="9"/>
  <c r="H27" i="9" s="1"/>
  <c r="H26" i="9" s="1"/>
  <c r="H66" i="9"/>
  <c r="H72" i="9"/>
  <c r="H75" i="9"/>
  <c r="H79" i="9"/>
  <c r="H78" i="9"/>
  <c r="H77" i="9" s="1"/>
  <c r="H90" i="9"/>
  <c r="H83" i="9" s="1"/>
  <c r="H82" i="9" s="1"/>
  <c r="H95" i="9"/>
  <c r="H97" i="9"/>
  <c r="H99" i="9"/>
  <c r="H101" i="9"/>
  <c r="H103" i="9"/>
  <c r="H106" i="9"/>
  <c r="H109" i="9"/>
  <c r="H113" i="9"/>
  <c r="H115" i="9"/>
  <c r="H94" i="9"/>
  <c r="H93" i="9" s="1"/>
  <c r="H118" i="9"/>
  <c r="H127" i="9"/>
  <c r="H126" i="9"/>
  <c r="H181" i="9"/>
  <c r="H142" i="9"/>
  <c r="H141" i="9" s="1"/>
  <c r="H130" i="9"/>
  <c r="M133" i="9"/>
  <c r="M14" i="9"/>
  <c r="M37" i="9"/>
  <c r="M39" i="9"/>
  <c r="M27" i="9"/>
  <c r="M26" i="9" s="1"/>
  <c r="M66" i="9"/>
  <c r="M72" i="9"/>
  <c r="M75" i="9"/>
  <c r="M64" i="9"/>
  <c r="M63" i="9" s="1"/>
  <c r="M79" i="9"/>
  <c r="M78" i="9" s="1"/>
  <c r="M77" i="9" s="1"/>
  <c r="M90" i="9"/>
  <c r="M83" i="9"/>
  <c r="M82" i="9" s="1"/>
  <c r="M95" i="9"/>
  <c r="M97" i="9"/>
  <c r="M99" i="9"/>
  <c r="M101" i="9"/>
  <c r="M103" i="9"/>
  <c r="M106" i="9"/>
  <c r="M109" i="9"/>
  <c r="M113" i="9"/>
  <c r="M115" i="9"/>
  <c r="M127" i="9"/>
  <c r="M126" i="9" s="1"/>
  <c r="M181" i="9"/>
  <c r="M142" i="9" s="1"/>
  <c r="M141" i="9"/>
  <c r="M130" i="9"/>
  <c r="N14" i="9"/>
  <c r="N37" i="9"/>
  <c r="N39" i="9"/>
  <c r="N27" i="9"/>
  <c r="N26" i="9" s="1"/>
  <c r="N66" i="9"/>
  <c r="N72" i="9"/>
  <c r="N76" i="9"/>
  <c r="N75" i="9"/>
  <c r="N79" i="9"/>
  <c r="N78" i="9"/>
  <c r="N77" i="9" s="1"/>
  <c r="N90" i="9"/>
  <c r="N83" i="9" s="1"/>
  <c r="N82" i="9"/>
  <c r="N95" i="9"/>
  <c r="N97" i="9"/>
  <c r="N99" i="9"/>
  <c r="N101" i="9"/>
  <c r="N103" i="9"/>
  <c r="N106" i="9"/>
  <c r="N109" i="9"/>
  <c r="N113" i="9"/>
  <c r="N115" i="9"/>
  <c r="N94" i="9"/>
  <c r="N93" i="9" s="1"/>
  <c r="N127" i="9"/>
  <c r="N126" i="9"/>
  <c r="N181" i="9"/>
  <c r="N130" i="9"/>
  <c r="N129" i="9" s="1"/>
  <c r="J128" i="9"/>
  <c r="O129" i="9"/>
  <c r="J131" i="9"/>
  <c r="P131" i="9" s="1"/>
  <c r="U131" i="9" s="1"/>
  <c r="J132" i="9"/>
  <c r="E132" i="9"/>
  <c r="P132" i="9" s="1"/>
  <c r="U132" i="9" s="1"/>
  <c r="E131" i="9"/>
  <c r="U130" i="9"/>
  <c r="F129" i="9"/>
  <c r="I129" i="9"/>
  <c r="E129" i="9" s="1"/>
  <c r="M129" i="9"/>
  <c r="H129" i="9"/>
  <c r="G129" i="9"/>
  <c r="J124" i="9"/>
  <c r="Q124" i="9"/>
  <c r="E124" i="9"/>
  <c r="P124" i="9" s="1"/>
  <c r="E76" i="9"/>
  <c r="J76" i="9"/>
  <c r="P76" i="9"/>
  <c r="U76" i="9" s="1"/>
  <c r="R76" i="9"/>
  <c r="J75" i="9"/>
  <c r="U75" i="9"/>
  <c r="E156" i="9"/>
  <c r="E157" i="9"/>
  <c r="P157" i="9" s="1"/>
  <c r="E158" i="9"/>
  <c r="P156" i="9"/>
  <c r="P158" i="9"/>
  <c r="E155" i="9"/>
  <c r="P155" i="9"/>
  <c r="E154" i="9"/>
  <c r="P154" i="9"/>
  <c r="E27" i="9"/>
  <c r="J29" i="9"/>
  <c r="J30" i="9"/>
  <c r="J31" i="9"/>
  <c r="J32" i="9"/>
  <c r="J33" i="9"/>
  <c r="J34" i="9"/>
  <c r="J35" i="9"/>
  <c r="J36" i="9"/>
  <c r="J41" i="9"/>
  <c r="P41" i="9" s="1"/>
  <c r="J122" i="9"/>
  <c r="E122" i="9"/>
  <c r="P122" i="9" s="1"/>
  <c r="E125" i="9"/>
  <c r="J125" i="9"/>
  <c r="P125" i="9"/>
  <c r="O193" i="9"/>
  <c r="N193" i="9"/>
  <c r="M193" i="9"/>
  <c r="L193" i="9"/>
  <c r="I193" i="9"/>
  <c r="H193" i="9"/>
  <c r="G193" i="9"/>
  <c r="F193" i="9"/>
  <c r="E138" i="9"/>
  <c r="J138" i="9"/>
  <c r="P138" i="9"/>
  <c r="E147" i="9"/>
  <c r="E146" i="9"/>
  <c r="E145" i="9"/>
  <c r="J145" i="9"/>
  <c r="P145" i="9" s="1"/>
  <c r="E72" i="9"/>
  <c r="J72" i="9"/>
  <c r="P72" i="9" s="1"/>
  <c r="E66" i="9"/>
  <c r="J18" i="9"/>
  <c r="E18" i="9"/>
  <c r="P18" i="9" s="1"/>
  <c r="J19" i="9"/>
  <c r="J20" i="9"/>
  <c r="J21" i="9"/>
  <c r="J121" i="9"/>
  <c r="E123" i="9"/>
  <c r="J123" i="9"/>
  <c r="P123" i="9"/>
  <c r="J97" i="9"/>
  <c r="J98" i="9"/>
  <c r="J99" i="9"/>
  <c r="J100" i="9"/>
  <c r="J101" i="9"/>
  <c r="J102" i="9"/>
  <c r="J103" i="9"/>
  <c r="J104" i="9"/>
  <c r="J105" i="9"/>
  <c r="J106" i="9"/>
  <c r="J108" i="9"/>
  <c r="J110" i="9"/>
  <c r="J112" i="9"/>
  <c r="J114" i="9"/>
  <c r="J116" i="9"/>
  <c r="O69" i="9"/>
  <c r="J91" i="9"/>
  <c r="E91" i="9"/>
  <c r="P91" i="9" s="1"/>
  <c r="E92" i="9"/>
  <c r="J80" i="9"/>
  <c r="E80" i="9"/>
  <c r="P80" i="9" s="1"/>
  <c r="E81" i="9"/>
  <c r="E153" i="9"/>
  <c r="P153" i="9" s="1"/>
  <c r="E40" i="9"/>
  <c r="E41" i="9"/>
  <c r="E38" i="9"/>
  <c r="E39" i="9"/>
  <c r="P40" i="9"/>
  <c r="E117" i="9"/>
  <c r="E116" i="9"/>
  <c r="P116" i="9" s="1"/>
  <c r="E115" i="9"/>
  <c r="P115" i="9" s="1"/>
  <c r="E114" i="9"/>
  <c r="P114" i="9" s="1"/>
  <c r="E113" i="9"/>
  <c r="P113" i="9" s="1"/>
  <c r="E112" i="9"/>
  <c r="P112" i="9" s="1"/>
  <c r="E111" i="9"/>
  <c r="P111" i="9" s="1"/>
  <c r="E110" i="9"/>
  <c r="P110" i="9" s="1"/>
  <c r="E109" i="9"/>
  <c r="P109" i="9" s="1"/>
  <c r="E108" i="9"/>
  <c r="P108" i="9" s="1"/>
  <c r="E107" i="9"/>
  <c r="P107" i="9" s="1"/>
  <c r="E106" i="9"/>
  <c r="P106" i="9" s="1"/>
  <c r="E105" i="9"/>
  <c r="P105" i="9" s="1"/>
  <c r="E104" i="9"/>
  <c r="P104" i="9" s="1"/>
  <c r="E103" i="9"/>
  <c r="P103" i="9" s="1"/>
  <c r="E102" i="9"/>
  <c r="P102" i="9" s="1"/>
  <c r="E101" i="9"/>
  <c r="P101" i="9" s="1"/>
  <c r="E100" i="9"/>
  <c r="P100" i="9" s="1"/>
  <c r="E99" i="9"/>
  <c r="P99" i="9" s="1"/>
  <c r="E98" i="9"/>
  <c r="P98" i="9" s="1"/>
  <c r="E97" i="9"/>
  <c r="P97" i="9" s="1"/>
  <c r="E96" i="9"/>
  <c r="E95" i="9"/>
  <c r="E71" i="9"/>
  <c r="J71" i="9"/>
  <c r="P71" i="9"/>
  <c r="E69" i="9"/>
  <c r="J69" i="9"/>
  <c r="P69" i="9" s="1"/>
  <c r="E73" i="9"/>
  <c r="J73" i="9"/>
  <c r="P73" i="9"/>
  <c r="E74" i="9"/>
  <c r="J74" i="9"/>
  <c r="P74" i="9" s="1"/>
  <c r="E67" i="9"/>
  <c r="E68" i="9"/>
  <c r="P68" i="9" s="1"/>
  <c r="E163" i="9"/>
  <c r="P163" i="9" s="1"/>
  <c r="J56" i="9"/>
  <c r="J57" i="9"/>
  <c r="E56" i="9"/>
  <c r="P56" i="9" s="1"/>
  <c r="E57" i="9"/>
  <c r="P57" i="9" s="1"/>
  <c r="J16" i="9"/>
  <c r="J65" i="9"/>
  <c r="E29" i="9"/>
  <c r="P29" i="9" s="1"/>
  <c r="E30" i="9"/>
  <c r="P30" i="9" s="1"/>
  <c r="E31" i="9"/>
  <c r="P31" i="9" s="1"/>
  <c r="E32" i="9"/>
  <c r="P32" i="9" s="1"/>
  <c r="E33" i="9"/>
  <c r="P33" i="9" s="1"/>
  <c r="E34" i="9"/>
  <c r="P34" i="9" s="1"/>
  <c r="E35" i="9"/>
  <c r="P35" i="9" s="1"/>
  <c r="E36" i="9"/>
  <c r="P36" i="9" s="1"/>
  <c r="E37" i="9"/>
  <c r="E70" i="9"/>
  <c r="J70" i="9"/>
  <c r="P70" i="9"/>
  <c r="E28" i="9"/>
  <c r="J28" i="9"/>
  <c r="P28" i="9" s="1"/>
  <c r="E149" i="9"/>
  <c r="P149" i="9" s="1"/>
  <c r="E150" i="9"/>
  <c r="P150" i="9" s="1"/>
  <c r="E151" i="9"/>
  <c r="E65" i="9"/>
  <c r="P65" i="9" s="1"/>
  <c r="E159" i="9"/>
  <c r="P159" i="9" s="1"/>
  <c r="E121" i="9"/>
  <c r="P121" i="9" s="1"/>
  <c r="E144" i="9"/>
  <c r="E120" i="9"/>
  <c r="E16" i="9"/>
  <c r="P16" i="9"/>
  <c r="E17" i="9"/>
  <c r="J17" i="9"/>
  <c r="P17" i="9" s="1"/>
  <c r="E19" i="9"/>
  <c r="P19" i="9" s="1"/>
  <c r="E20" i="9"/>
  <c r="P20" i="9" s="1"/>
  <c r="E21" i="9"/>
  <c r="P21" i="9" s="1"/>
  <c r="E127" i="9"/>
  <c r="E128" i="9"/>
  <c r="P128" i="9" s="1"/>
  <c r="E44" i="9"/>
  <c r="J44" i="9"/>
  <c r="P44" i="9" s="1"/>
  <c r="E45" i="9"/>
  <c r="J45" i="9"/>
  <c r="P45" i="9"/>
  <c r="E46" i="9"/>
  <c r="J46" i="9"/>
  <c r="P46" i="9" s="1"/>
  <c r="E47" i="9"/>
  <c r="J47" i="9"/>
  <c r="P47" i="9"/>
  <c r="E48" i="9"/>
  <c r="J48" i="9"/>
  <c r="P48" i="9" s="1"/>
  <c r="E49" i="9"/>
  <c r="E50" i="9"/>
  <c r="J50" i="9"/>
  <c r="P50" i="9" s="1"/>
  <c r="E51" i="9"/>
  <c r="E52" i="9"/>
  <c r="J52" i="9"/>
  <c r="P52" i="9" s="1"/>
  <c r="E53" i="9"/>
  <c r="E54" i="9"/>
  <c r="J54" i="9"/>
  <c r="P54" i="9" s="1"/>
  <c r="E55" i="9"/>
  <c r="E58" i="9"/>
  <c r="E60" i="9"/>
  <c r="E62" i="9"/>
  <c r="J62" i="9"/>
  <c r="P62" i="9" s="1"/>
  <c r="E78" i="9"/>
  <c r="J79" i="9"/>
  <c r="E84" i="9"/>
  <c r="J84" i="9"/>
  <c r="P84" i="9"/>
  <c r="E85" i="9"/>
  <c r="J85" i="9"/>
  <c r="P85" i="9" s="1"/>
  <c r="J86" i="9"/>
  <c r="E86" i="9"/>
  <c r="P86" i="9"/>
  <c r="E87" i="9"/>
  <c r="P87" i="9" s="1"/>
  <c r="E88" i="9"/>
  <c r="J88" i="9"/>
  <c r="P88" i="9"/>
  <c r="E89" i="9"/>
  <c r="J89" i="9"/>
  <c r="P89" i="9" s="1"/>
  <c r="E90" i="9"/>
  <c r="J120" i="9"/>
  <c r="P120" i="9"/>
  <c r="J144" i="9"/>
  <c r="P144" i="9"/>
  <c r="E148" i="9"/>
  <c r="P148" i="9"/>
  <c r="P151" i="9"/>
  <c r="E160" i="9"/>
  <c r="P160" i="9"/>
  <c r="E162" i="9"/>
  <c r="P162" i="9"/>
  <c r="E166" i="9"/>
  <c r="P166" i="9"/>
  <c r="E171" i="9"/>
  <c r="P171" i="9"/>
  <c r="E180" i="9"/>
  <c r="E181" i="9"/>
  <c r="P181" i="9"/>
  <c r="E182" i="9"/>
  <c r="P182" i="9"/>
  <c r="P189" i="9" l="1"/>
  <c r="P191" i="9"/>
  <c r="P37" i="9"/>
  <c r="P117" i="9"/>
  <c r="P127" i="9"/>
  <c r="O82" i="9"/>
  <c r="J82" i="9" s="1"/>
  <c r="R84" i="9" s="1"/>
  <c r="J83" i="9"/>
  <c r="O77" i="9"/>
  <c r="J77" i="9" s="1"/>
  <c r="R79" i="9" s="1"/>
  <c r="J78" i="9"/>
  <c r="P78" i="9" s="1"/>
  <c r="R188" i="9"/>
  <c r="M94" i="9"/>
  <c r="M93" i="9" s="1"/>
  <c r="H64" i="9"/>
  <c r="H63" i="9" s="1"/>
  <c r="H183" i="9"/>
  <c r="H185" i="9" s="1"/>
  <c r="G94" i="9"/>
  <c r="G93" i="9" s="1"/>
  <c r="P23" i="9"/>
  <c r="L126" i="9"/>
  <c r="J126" i="9" s="1"/>
  <c r="P126" i="9" s="1"/>
  <c r="J127" i="9"/>
  <c r="J27" i="9"/>
  <c r="P27" i="9" s="1"/>
  <c r="H43" i="9"/>
  <c r="H42" i="9" s="1"/>
  <c r="O58" i="9"/>
  <c r="J58" i="9" s="1"/>
  <c r="P58" i="9" s="1"/>
  <c r="J59" i="9"/>
  <c r="P59" i="9" s="1"/>
  <c r="N43" i="9"/>
  <c r="N42" i="9" s="1"/>
  <c r="N183" i="9" s="1"/>
  <c r="N185" i="9" s="1"/>
  <c r="L43" i="9"/>
  <c r="L172" i="9"/>
  <c r="J180" i="9"/>
  <c r="P180" i="9" s="1"/>
  <c r="P118" i="9"/>
  <c r="R118" i="9" s="1"/>
  <c r="I64" i="9"/>
  <c r="I134" i="9"/>
  <c r="I133" i="9" s="1"/>
  <c r="E136" i="9"/>
  <c r="L134" i="9"/>
  <c r="J136" i="9"/>
  <c r="K43" i="9"/>
  <c r="K42" i="9" s="1"/>
  <c r="K183" i="9" s="1"/>
  <c r="J119" i="9"/>
  <c r="E79" i="9"/>
  <c r="P79" i="9" s="1"/>
  <c r="J55" i="9"/>
  <c r="P55" i="9" s="1"/>
  <c r="E119" i="9"/>
  <c r="J81" i="9"/>
  <c r="P81" i="9" s="1"/>
  <c r="J117" i="9"/>
  <c r="J92" i="9"/>
  <c r="P92" i="9" s="1"/>
  <c r="J39" i="9"/>
  <c r="P39" i="9" s="1"/>
  <c r="N64" i="9"/>
  <c r="N63" i="9" s="1"/>
  <c r="J129" i="9"/>
  <c r="P129" i="9" s="1"/>
  <c r="L94" i="9"/>
  <c r="O37" i="9"/>
  <c r="J37" i="9" s="1"/>
  <c r="J38" i="9"/>
  <c r="P38" i="9" s="1"/>
  <c r="O27" i="9"/>
  <c r="O26" i="9" s="1"/>
  <c r="L26" i="9"/>
  <c r="J26" i="9" s="1"/>
  <c r="G43" i="9"/>
  <c r="G42" i="9" s="1"/>
  <c r="O61" i="9"/>
  <c r="M43" i="9"/>
  <c r="M42" i="9" s="1"/>
  <c r="M183" i="9" s="1"/>
  <c r="M185" i="9" s="1"/>
  <c r="G143" i="9"/>
  <c r="G142" i="9" s="1"/>
  <c r="G141" i="9" s="1"/>
  <c r="L143" i="9"/>
  <c r="O152" i="9"/>
  <c r="F94" i="9"/>
  <c r="F83" i="9"/>
  <c r="E77" i="9"/>
  <c r="I143" i="9"/>
  <c r="I142" i="9" s="1"/>
  <c r="I141" i="9" s="1"/>
  <c r="E172" i="9"/>
  <c r="E161" i="9"/>
  <c r="P161" i="9" s="1"/>
  <c r="F143" i="9"/>
  <c r="K95" i="9"/>
  <c r="K94" i="9" s="1"/>
  <c r="K93" i="9" s="1"/>
  <c r="O96" i="9"/>
  <c r="K66" i="9"/>
  <c r="K64" i="9" s="1"/>
  <c r="K63" i="9" s="1"/>
  <c r="O67" i="9"/>
  <c r="O146" i="9"/>
  <c r="J147" i="9"/>
  <c r="P147" i="9" s="1"/>
  <c r="N143" i="9"/>
  <c r="N142" i="9" s="1"/>
  <c r="N141" i="9" s="1"/>
  <c r="O172" i="9"/>
  <c r="T145" i="9"/>
  <c r="J167" i="9"/>
  <c r="P167" i="9" s="1"/>
  <c r="F43" i="9"/>
  <c r="F134" i="9"/>
  <c r="O134" i="9"/>
  <c r="O133" i="9" s="1"/>
  <c r="O15" i="9"/>
  <c r="R145" i="9"/>
  <c r="J197" i="9" l="1"/>
  <c r="K185" i="9"/>
  <c r="O14" i="9"/>
  <c r="J15" i="9"/>
  <c r="P15" i="9" s="1"/>
  <c r="F133" i="9"/>
  <c r="E133" i="9" s="1"/>
  <c r="E134" i="9"/>
  <c r="O66" i="9"/>
  <c r="J67" i="9"/>
  <c r="P67" i="9" s="1"/>
  <c r="O95" i="9"/>
  <c r="J96" i="9"/>
  <c r="P96" i="9" s="1"/>
  <c r="F82" i="9"/>
  <c r="E82" i="9" s="1"/>
  <c r="P82" i="9" s="1"/>
  <c r="R82" i="9" s="1"/>
  <c r="E83" i="9"/>
  <c r="V145" i="9"/>
  <c r="L142" i="9"/>
  <c r="J143" i="9"/>
  <c r="O60" i="9"/>
  <c r="J60" i="9" s="1"/>
  <c r="P60" i="9" s="1"/>
  <c r="J61" i="9"/>
  <c r="P61" i="9" s="1"/>
  <c r="P26" i="9"/>
  <c r="R26" i="9" s="1"/>
  <c r="R28" i="9"/>
  <c r="L93" i="9"/>
  <c r="L133" i="9"/>
  <c r="J133" i="9" s="1"/>
  <c r="R135" i="9" s="1"/>
  <c r="J134" i="9"/>
  <c r="S145" i="9"/>
  <c r="J172" i="9"/>
  <c r="P172" i="9" s="1"/>
  <c r="F42" i="9"/>
  <c r="E43" i="9"/>
  <c r="J152" i="9"/>
  <c r="O143" i="9"/>
  <c r="O142" i="9" s="1"/>
  <c r="O141" i="9" s="1"/>
  <c r="J146" i="9"/>
  <c r="P146" i="9" s="1"/>
  <c r="F142" i="9"/>
  <c r="E143" i="9"/>
  <c r="P143" i="9" s="1"/>
  <c r="P77" i="9"/>
  <c r="R77" i="9" s="1"/>
  <c r="R78" i="9"/>
  <c r="F93" i="9"/>
  <c r="E93" i="9" s="1"/>
  <c r="E94" i="9"/>
  <c r="O43" i="9"/>
  <c r="O42" i="9" s="1"/>
  <c r="G183" i="9"/>
  <c r="G185" i="9" s="1"/>
  <c r="Z129" i="9"/>
  <c r="U129" i="9"/>
  <c r="P119" i="9"/>
  <c r="P136" i="9"/>
  <c r="I63" i="9"/>
  <c r="E64" i="9"/>
  <c r="L42" i="9"/>
  <c r="J42" i="9" s="1"/>
  <c r="R44" i="9" s="1"/>
  <c r="I183" i="9" l="1"/>
  <c r="I185" i="9" s="1"/>
  <c r="E63" i="9"/>
  <c r="R94" i="9"/>
  <c r="Q145" i="9"/>
  <c r="P152" i="9"/>
  <c r="W145" i="9" s="1"/>
  <c r="E42" i="9"/>
  <c r="O94" i="9"/>
  <c r="J95" i="9"/>
  <c r="P95" i="9" s="1"/>
  <c r="O64" i="9"/>
  <c r="J66" i="9"/>
  <c r="P66" i="9" s="1"/>
  <c r="R134" i="9"/>
  <c r="P133" i="9"/>
  <c r="R133" i="9" s="1"/>
  <c r="J14" i="9"/>
  <c r="J43" i="9"/>
  <c r="P43" i="9" s="1"/>
  <c r="F141" i="9"/>
  <c r="E141" i="9" s="1"/>
  <c r="E142" i="9"/>
  <c r="L183" i="9"/>
  <c r="L185" i="9" s="1"/>
  <c r="J142" i="9"/>
  <c r="L141" i="9"/>
  <c r="J141" i="9" s="1"/>
  <c r="R143" i="9" s="1"/>
  <c r="P83" i="9"/>
  <c r="R83" i="9"/>
  <c r="P134" i="9"/>
  <c r="P142" i="9" l="1"/>
  <c r="O63" i="9"/>
  <c r="J64" i="9"/>
  <c r="P64" i="9" s="1"/>
  <c r="O93" i="9"/>
  <c r="J93" i="9" s="1"/>
  <c r="J94" i="9"/>
  <c r="P94" i="9" s="1"/>
  <c r="R43" i="9"/>
  <c r="P42" i="9"/>
  <c r="R42" i="9" s="1"/>
  <c r="E183" i="9"/>
  <c r="R142" i="9"/>
  <c r="P141" i="9"/>
  <c r="R141" i="9" s="1"/>
  <c r="R16" i="9"/>
  <c r="P14" i="9"/>
  <c r="F183" i="9"/>
  <c r="F185" i="9" s="1"/>
  <c r="R64" i="9"/>
  <c r="R14" i="9" l="1"/>
  <c r="E185" i="9"/>
  <c r="E192" i="9"/>
  <c r="R95" i="9"/>
  <c r="P93" i="9"/>
  <c r="R93" i="9" s="1"/>
  <c r="J63" i="9"/>
  <c r="O183" i="9"/>
  <c r="O185" i="9" s="1"/>
  <c r="R65" i="9" l="1"/>
  <c r="J183" i="9"/>
  <c r="P63" i="9"/>
  <c r="E193" i="9"/>
  <c r="R63" i="9" l="1"/>
  <c r="P183" i="9"/>
  <c r="J185" i="9"/>
  <c r="J192" i="9"/>
  <c r="J193" i="9" l="1"/>
  <c r="P192" i="9"/>
  <c r="P193" i="9" s="1"/>
  <c r="Q183" i="9"/>
  <c r="P185" i="9"/>
</calcChain>
</file>

<file path=xl/sharedStrings.xml><?xml version="1.0" encoding="utf-8"?>
<sst xmlns="http://schemas.openxmlformats.org/spreadsheetml/2006/main" count="543" uniqueCount="411">
  <si>
    <t>з них</t>
  </si>
  <si>
    <t>оплата праці</t>
  </si>
  <si>
    <t>комунальні послуги та енергоносії</t>
  </si>
  <si>
    <t>Разом</t>
  </si>
  <si>
    <t>0100000</t>
  </si>
  <si>
    <t>0110000</t>
  </si>
  <si>
    <t xml:space="preserve">до рішення обласної ради </t>
  </si>
  <si>
    <t>Багатопрофільна стаціонарна медична допомога населенню</t>
  </si>
  <si>
    <t>Спеціалізована стаціонарна медична допомога населенню</t>
  </si>
  <si>
    <t>Створення банків крові та її компонентів</t>
  </si>
  <si>
    <t>Загальнообласні видатки</t>
  </si>
  <si>
    <t>0800000</t>
  </si>
  <si>
    <t>0810000</t>
  </si>
  <si>
    <t>видатки споживання</t>
  </si>
  <si>
    <t>видатки розвитку</t>
  </si>
  <si>
    <t>16=5+10</t>
  </si>
  <si>
    <t>0540</t>
  </si>
  <si>
    <t>1040</t>
  </si>
  <si>
    <t>Надання загальної середньої освіти загальноосвiтнiми школами-iнтернатами, загальноосвітніми санаторними школами-інтернатами</t>
  </si>
  <si>
    <t>0922</t>
  </si>
  <si>
    <t>1060</t>
  </si>
  <si>
    <t>0910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</si>
  <si>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</si>
  <si>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 </t>
  </si>
  <si>
    <t>1080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</si>
  <si>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</si>
  <si>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</si>
  <si>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</si>
  <si>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0930</t>
  </si>
  <si>
    <t>1130</t>
  </si>
  <si>
    <t>0942</t>
  </si>
  <si>
    <t>1140</t>
  </si>
  <si>
    <t>0950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</si>
  <si>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</si>
  <si>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r>
      <t xml:space="preserve">Департамент освіти і науки ОДА </t>
    </r>
    <r>
      <rPr>
        <sz val="10"/>
        <rFont val="Times New Roman"/>
        <family val="1"/>
        <charset val="204"/>
      </rPr>
      <t>(головний розпорядник)</t>
    </r>
  </si>
  <si>
    <r>
      <t xml:space="preserve">Департамент освіти і науки ОДА </t>
    </r>
    <r>
      <rPr>
        <sz val="10"/>
        <rFont val="Times New Roman"/>
        <family val="1"/>
        <charset val="204"/>
      </rPr>
      <t xml:space="preserve">(відповідальний виконавець) </t>
    </r>
  </si>
  <si>
    <t>0111</t>
  </si>
  <si>
    <t xml:space="preserve">Організаційне, інформаційно-аналітичне та матеріально-технічне забезпечення діяльності обласної  ради </t>
  </si>
  <si>
    <r>
      <t xml:space="preserve">Управління інформаційної діяльності та комунікацій з громадськістю ОДА </t>
    </r>
    <r>
      <rPr>
        <sz val="10"/>
        <rFont val="Times New Roman"/>
        <family val="1"/>
        <charset val="204"/>
      </rPr>
      <t>(головний розпорядник)</t>
    </r>
  </si>
  <si>
    <r>
      <t xml:space="preserve">Управління інформаційної діяльності та комунікацій з громадськістю ОДА </t>
    </r>
    <r>
      <rPr>
        <sz val="10"/>
        <rFont val="Times New Roman"/>
        <family val="1"/>
        <charset val="204"/>
      </rPr>
      <t xml:space="preserve">(відповідальний виконавець) </t>
    </r>
  </si>
  <si>
    <r>
      <t xml:space="preserve">Департамент  охорони здоров’я ОДА </t>
    </r>
    <r>
      <rPr>
        <sz val="10"/>
        <rFont val="Times New Roman"/>
        <family val="1"/>
        <charset val="204"/>
      </rPr>
      <t xml:space="preserve">(відповідальний виконавець) </t>
    </r>
  </si>
  <si>
    <r>
      <t xml:space="preserve">Департамент  соціального захисту населення ОДА </t>
    </r>
    <r>
      <rPr>
        <sz val="10"/>
        <rFont val="Times New Roman"/>
        <family val="1"/>
        <charset val="204"/>
      </rPr>
      <t xml:space="preserve">(відповідальний виконавець)  </t>
    </r>
  </si>
  <si>
    <r>
      <t xml:space="preserve">Служба у справах дітей ОДА </t>
    </r>
    <r>
      <rPr>
        <sz val="10"/>
        <rFont val="Times New Roman"/>
        <family val="1"/>
        <charset val="204"/>
      </rPr>
      <t xml:space="preserve">(відповідальний виконавець) </t>
    </r>
  </si>
  <si>
    <r>
      <t xml:space="preserve">Департамент  охорони здоров’я ОДА </t>
    </r>
    <r>
      <rPr>
        <sz val="10"/>
        <rFont val="Times New Roman"/>
        <family val="1"/>
        <charset val="204"/>
      </rPr>
      <t>(головний розпорядник)</t>
    </r>
  </si>
  <si>
    <r>
      <t xml:space="preserve">Департамент  соціального захисту населення ОДА </t>
    </r>
    <r>
      <rPr>
        <sz val="10"/>
        <rFont val="Times New Roman"/>
        <family val="1"/>
        <charset val="204"/>
      </rPr>
      <t xml:space="preserve">(головний розпорядник) </t>
    </r>
  </si>
  <si>
    <r>
      <t>Служба у справах дітей ОДА</t>
    </r>
    <r>
      <rPr>
        <sz val="10"/>
        <rFont val="Times New Roman"/>
        <family val="1"/>
        <charset val="204"/>
      </rPr>
      <t xml:space="preserve"> (головний розпорядник)</t>
    </r>
  </si>
  <si>
    <t>0133</t>
  </si>
  <si>
    <t>0180</t>
  </si>
  <si>
    <t>1120</t>
  </si>
  <si>
    <t>0941</t>
  </si>
  <si>
    <t>2010</t>
  </si>
  <si>
    <t>0731</t>
  </si>
  <si>
    <t>0732</t>
  </si>
  <si>
    <t>2060</t>
  </si>
  <si>
    <t>0734</t>
  </si>
  <si>
    <t>2070</t>
  </si>
  <si>
    <t>2090</t>
  </si>
  <si>
    <t>0761</t>
  </si>
  <si>
    <t>2100</t>
  </si>
  <si>
    <t>0762</t>
  </si>
  <si>
    <t>0724</t>
  </si>
  <si>
    <t>2130</t>
  </si>
  <si>
    <t>0722</t>
  </si>
  <si>
    <t>0740</t>
  </si>
  <si>
    <t>0763</t>
  </si>
  <si>
    <t>0824</t>
  </si>
  <si>
    <t>Медико-соціальний захист дітей-сиріт і дітей, позбавлених батьківського піклування</t>
  </si>
  <si>
    <r>
      <t xml:space="preserve">Управління культури, національностей, релігій та туризму ОДА </t>
    </r>
    <r>
      <rPr>
        <sz val="10"/>
        <rFont val="Times New Roman"/>
        <family val="1"/>
        <charset val="204"/>
      </rPr>
      <t xml:space="preserve"> (головний розпорядник)</t>
    </r>
  </si>
  <si>
    <r>
      <t xml:space="preserve">Управління культури, національностей, релігій та туризму ОДА  </t>
    </r>
    <r>
      <rPr>
        <sz val="10"/>
        <rFont val="Times New Roman"/>
        <family val="1"/>
        <charset val="204"/>
      </rPr>
      <t>(відповідальний виконавець)</t>
    </r>
  </si>
  <si>
    <t>4020</t>
  </si>
  <si>
    <t>0821</t>
  </si>
  <si>
    <t>0822</t>
  </si>
  <si>
    <t>4080</t>
  </si>
  <si>
    <t>0827</t>
  </si>
  <si>
    <t>3140</t>
  </si>
  <si>
    <t>5060</t>
  </si>
  <si>
    <r>
      <t xml:space="preserve">Управління молоді та спорту ОДА </t>
    </r>
    <r>
      <rPr>
        <sz val="10"/>
        <rFont val="Times New Roman"/>
        <family val="1"/>
        <charset val="204"/>
      </rPr>
      <t>(головний розпорядник)</t>
    </r>
  </si>
  <si>
    <r>
      <t xml:space="preserve">Управління молоді та спорту ОДА </t>
    </r>
    <r>
      <rPr>
        <sz val="10"/>
        <rFont val="Times New Roman"/>
        <family val="1"/>
        <charset val="204"/>
      </rPr>
      <t xml:space="preserve">(відповідальний виконавець) </t>
    </r>
  </si>
  <si>
    <t>Загальний фонд</t>
  </si>
  <si>
    <t>Спеціальний фонд</t>
  </si>
  <si>
    <t>5010</t>
  </si>
  <si>
    <t>5020</t>
  </si>
  <si>
    <t>Проведення спортивної роботи в регіоні</t>
  </si>
  <si>
    <t>Соціальний захист ветеранів війни та праці</t>
  </si>
  <si>
    <t>3110</t>
  </si>
  <si>
    <t>Заклади і заходи з питань дітей та їх соціального захисту</t>
  </si>
  <si>
    <t>3130</t>
  </si>
  <si>
    <t>Здійснення соціальної роботи з вразливими категоріями населення</t>
  </si>
  <si>
    <t xml:space="preserve">Резервний фонд </t>
  </si>
  <si>
    <r>
      <t xml:space="preserve">Хмельницька обласна рада (апарат обласної ради) </t>
    </r>
    <r>
      <rPr>
        <sz val="10"/>
        <rFont val="Times New Roman"/>
        <family val="1"/>
        <charset val="204"/>
      </rPr>
      <t>(головний розпорядник)</t>
    </r>
  </si>
  <si>
    <r>
      <t xml:space="preserve">Хмельницька обласна рада (апарат обласної ради)  </t>
    </r>
    <r>
      <rPr>
        <sz val="10"/>
        <rFont val="Times New Roman"/>
        <family val="1"/>
        <charset val="204"/>
      </rPr>
      <t xml:space="preserve">(відповідальний виконавець) </t>
    </r>
  </si>
  <si>
    <r>
      <t>Департамент фінансів ОДА</t>
    </r>
    <r>
      <rPr>
        <sz val="10"/>
        <rFont val="Times New Roman"/>
        <family val="1"/>
        <charset val="204"/>
      </rPr>
      <t xml:space="preserve"> (в частині міжбюджетних трансфертів, резервного фонду)(головний розпорядник)</t>
    </r>
  </si>
  <si>
    <t>Розвиток дитячо-юнацького та резервного спорту</t>
  </si>
  <si>
    <t>5030</t>
  </si>
  <si>
    <t>Інші заходи з розвитку фізичної культури та спорту</t>
  </si>
  <si>
    <t>Реалізація державної політики у молодіжній сфері</t>
  </si>
  <si>
    <t>5050</t>
  </si>
  <si>
    <t>Підтримка фізкультурно-спортивного руху</t>
  </si>
  <si>
    <r>
      <t xml:space="preserve">Департамент фінансів ОДА </t>
    </r>
    <r>
      <rPr>
        <sz val="10"/>
        <rFont val="Times New Roman"/>
        <family val="1"/>
        <charset val="204"/>
      </rPr>
      <t>(відповідальний виконавець)</t>
    </r>
  </si>
  <si>
    <t xml:space="preserve">Додаток 3
</t>
  </si>
  <si>
    <t>1110</t>
  </si>
  <si>
    <t>Підготовка кадрів професійно-технічними закладами та іншими закладами освіти</t>
  </si>
  <si>
    <t>Підготовка кадрів вищими навчальними закладами І-ІІ рівнів акредитації (коледжами, технікумами, училищами)</t>
  </si>
  <si>
    <t>1160</t>
  </si>
  <si>
    <t>Інші програми, заклади та заходи у сфері освіти</t>
  </si>
  <si>
    <t>Надання загальної середньої освіти  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</t>
  </si>
  <si>
    <t>Підготовка кадрів вищими навчальними закладами ІІІ-ІV рівнів акредитації (університетами, академіями, інститутами)</t>
  </si>
  <si>
    <t>Підвищення кваліфікації, перепідготовка кадрів закладами післядипломної освіти</t>
  </si>
  <si>
    <t>0600000</t>
  </si>
  <si>
    <t>0611040</t>
  </si>
  <si>
    <t>0611060</t>
  </si>
  <si>
    <t>0611070</t>
  </si>
  <si>
    <t>0611080</t>
  </si>
  <si>
    <t>0611090</t>
  </si>
  <si>
    <t>0611110</t>
  </si>
  <si>
    <t>0611120</t>
  </si>
  <si>
    <t>0611130</t>
  </si>
  <si>
    <t>0611140</t>
  </si>
  <si>
    <t>0611160</t>
  </si>
  <si>
    <t>0615010</t>
  </si>
  <si>
    <t>9210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</si>
  <si>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</si>
  <si>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9220</t>
  </si>
  <si>
    <t>9230</t>
  </si>
  <si>
    <t>9250</t>
  </si>
  <si>
    <t>9270</t>
  </si>
  <si>
    <t>9130</t>
  </si>
  <si>
    <t>8700</t>
  </si>
  <si>
    <t>0150</t>
  </si>
  <si>
    <t>0110150</t>
  </si>
  <si>
    <t xml:space="preserve">Інші субвенції з місцевого бюджету </t>
  </si>
  <si>
    <t>9770</t>
  </si>
  <si>
    <t>Фінансова підтримка театрів </t>
  </si>
  <si>
    <t>4010</t>
  </si>
  <si>
    <t>Фінансова підтримка фiлармонiй, художніх і музичних колективів, ансамблів, концертних та циркових організацій</t>
  </si>
  <si>
    <t>Забезпечення діяльності бібліотек</t>
  </si>
  <si>
    <t>Забезпечення діяльності музеїв i виставок</t>
  </si>
  <si>
    <t>1000000</t>
  </si>
  <si>
    <t>1010000</t>
  </si>
  <si>
    <t>Забезпечення діяльності заповідників</t>
  </si>
  <si>
    <t>4050</t>
  </si>
  <si>
    <t>Інші заклади та заходи в галузі культури і мистецтва</t>
  </si>
  <si>
    <t xml:space="preserve">Підготовка кадрів вищими навчальними закладами І-ІІ рівнів акредитації (коледжами, технікумами, училищами) </t>
  </si>
  <si>
    <t>8340</t>
  </si>
  <si>
    <t>Природоохоронні заходи за рахунок цільових фондів (Обласний фонд охорони навколишнього природного середовища)</t>
  </si>
  <si>
    <t>0718340</t>
  </si>
  <si>
    <t>3719130</t>
  </si>
  <si>
    <t>3719230</t>
  </si>
  <si>
    <t>3719210</t>
  </si>
  <si>
    <t>3719220</t>
  </si>
  <si>
    <t>3719250</t>
  </si>
  <si>
    <t>3719770</t>
  </si>
  <si>
    <t>3710000</t>
  </si>
  <si>
    <t>3718700</t>
  </si>
  <si>
    <t>3190</t>
  </si>
  <si>
    <t xml:space="preserve">Забезпечення обробки інформації з нарахування та виплати допомог і компенсацій </t>
  </si>
  <si>
    <t>Інші заклади та заходи</t>
  </si>
  <si>
    <t>0813190</t>
  </si>
  <si>
    <t>0900000</t>
  </si>
  <si>
    <t>0910000</t>
  </si>
  <si>
    <t>0913110</t>
  </si>
  <si>
    <t>0700000</t>
  </si>
  <si>
    <t>0710000</t>
  </si>
  <si>
    <t>0711120</t>
  </si>
  <si>
    <t>0712010</t>
  </si>
  <si>
    <t>0712060</t>
  </si>
  <si>
    <t>0712070</t>
  </si>
  <si>
    <t>0712090</t>
  </si>
  <si>
    <t>0712100</t>
  </si>
  <si>
    <t>0712130</t>
  </si>
  <si>
    <t>0712020</t>
  </si>
  <si>
    <t>2020</t>
  </si>
  <si>
    <t>Санаторно-курортна допомога населенню</t>
  </si>
  <si>
    <t>0712040</t>
  </si>
  <si>
    <t>2040</t>
  </si>
  <si>
    <t>0712050</t>
  </si>
  <si>
    <t>2050</t>
  </si>
  <si>
    <t>Екстрена та швидка медична допомога населенню</t>
  </si>
  <si>
    <t>Спеціалізована амбулаторно-поліклінічна допомога населенню</t>
  </si>
  <si>
    <t>Стоматологічна допомога населенню</t>
  </si>
  <si>
    <t>Інформаційно-методичне та просвітницьке забезпечення в галузі охорони здоров'я</t>
  </si>
  <si>
    <t>0712120</t>
  </si>
  <si>
    <t>2120</t>
  </si>
  <si>
    <t>Проведення належної медико-соціальної експертизи (МСЕК)</t>
  </si>
  <si>
    <t>Інші програми, заклади та заходи у сфері охорони здоров’я</t>
  </si>
  <si>
    <t>0712150</t>
  </si>
  <si>
    <t>4030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</si>
  <si>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</si>
  <si>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3719460</t>
  </si>
  <si>
    <t>9460</t>
  </si>
  <si>
    <t>3719410</t>
  </si>
  <si>
    <t>9410</t>
  </si>
  <si>
    <t>Субвенція з місцевого бюджету на здійснення переданих видатків у сфері охорони здоров’я за рахунок коштів медичної субвенції (цільові видатки на лікування хворих на цукровий та нецукровий діабет)</t>
  </si>
  <si>
    <t>3240</t>
  </si>
  <si>
    <t>Інші заходи у сфері засобів масової інформації</t>
  </si>
  <si>
    <t>8420</t>
  </si>
  <si>
    <t>0113240</t>
  </si>
  <si>
    <t>0110180</t>
  </si>
  <si>
    <t>Інша діяльність у сфері державного управління</t>
  </si>
  <si>
    <t>2300000</t>
  </si>
  <si>
    <t>2310000</t>
  </si>
  <si>
    <t>2318420</t>
  </si>
  <si>
    <t>0830</t>
  </si>
  <si>
    <t>0813200</t>
  </si>
  <si>
    <t>3200</t>
  </si>
  <si>
    <t>0610000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</si>
  <si>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</si>
  <si>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4040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</si>
  <si>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</t>
  </si>
  <si>
    <t>3719200</t>
  </si>
  <si>
    <t>9200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</si>
  <si>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</si>
  <si>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3719400</t>
  </si>
  <si>
    <t>9400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</si>
  <si>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</si>
  <si>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3719700</t>
  </si>
  <si>
    <t>9700</t>
  </si>
  <si>
    <t>Здійснення фізкультурно-спортивної та реабілітаційної роботи серед осіб з інвалідністю</t>
  </si>
  <si>
    <t>Інші програми та заходи, пов'язані з економічною діяльністю</t>
  </si>
  <si>
    <t>0117600</t>
  </si>
  <si>
    <t>0490</t>
  </si>
  <si>
    <t>Дотації з місцевого бюджету іншим бюджетам</t>
  </si>
  <si>
    <t>Міжбюджетні трансферти</t>
  </si>
  <si>
    <t>7360</t>
  </si>
  <si>
    <t>Виконання інвестиційних проектів</t>
  </si>
  <si>
    <t>0717360</t>
  </si>
  <si>
    <t>7320</t>
  </si>
  <si>
    <t>Будівництво об'єктів соціально-культурного призначення</t>
  </si>
  <si>
    <t xml:space="preserve">Реалізація державних та місцевих житлових програм </t>
  </si>
  <si>
    <t>3719800</t>
  </si>
  <si>
    <t>9800</t>
  </si>
  <si>
    <t>0717320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</si>
  <si>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</si>
  <si>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9300</t>
  </si>
  <si>
    <t>9330</t>
  </si>
  <si>
    <r>
      <t xml:space="preserve">Управління регіонального розвитку та будівництва ОДА </t>
    </r>
    <r>
      <rPr>
        <b/>
        <i/>
        <sz val="10"/>
        <rFont val="Times New Roman"/>
        <family val="1"/>
        <charset val="204"/>
      </rPr>
      <t>(головний розпорядник)</t>
    </r>
  </si>
  <si>
    <r>
      <t xml:space="preserve">Управління регіонального розвитку та будівництва ОДА </t>
    </r>
    <r>
      <rPr>
        <b/>
        <i/>
        <sz val="10"/>
        <rFont val="Times New Roman"/>
        <family val="1"/>
        <charset val="204"/>
      </rPr>
      <t>(відповідальний виконавець)</t>
    </r>
  </si>
  <si>
    <t>3048</t>
  </si>
  <si>
    <t>Надання при народженні дитини одноразової натуральної допомоги "пакунок малюка"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</si>
  <si>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</si>
  <si>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Розподіл видатків обласного бюджету на 2019 рік 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</si>
  <si>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</si>
  <si>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</si>
  <si>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 xml:space="preserve">Код Функціональної класифікації видатків та кредитування бюджету </t>
  </si>
  <si>
    <t>Найменування головного розпорядника коштів обласного бюджету</t>
  </si>
  <si>
    <t xml:space="preserve">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</si>
  <si>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усього</t>
  </si>
  <si>
    <t>УСЬОГО</t>
  </si>
  <si>
    <t>(грн)</t>
  </si>
  <si>
    <t>у тому числі бюджет розвитку</t>
  </si>
  <si>
    <t>0712151</t>
  </si>
  <si>
    <t>2151</t>
  </si>
  <si>
    <t>Забезпечення діяльності інших закладів у сфері охорони здоров’я</t>
  </si>
  <si>
    <t>0712152</t>
  </si>
  <si>
    <t>2152</t>
  </si>
  <si>
    <t>Інші програми та заходи у сфері охорони здоров’я</t>
  </si>
  <si>
    <t>Субвенція з місцевого бюджету на здійснення переданих видатків у сфері охорони здоров’я за рахунок коштів медичної субвенції (цільові видатки для медичного обслуговування внутрішньо переміщених осіб)</t>
  </si>
  <si>
    <t>0813101</t>
  </si>
  <si>
    <t>1010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</si>
  <si>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</si>
  <si>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0813102</t>
  </si>
  <si>
    <t>1020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</si>
  <si>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</si>
  <si>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</si>
  <si>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</si>
  <si>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</si>
  <si>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</si>
  <si>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</si>
  <si>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</si>
  <si>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0813048</t>
  </si>
  <si>
    <t>3111</t>
  </si>
  <si>
    <t>Утримання та забезпечення діяльності центрів соціальних служб для сім’ї, дітей та молоді</t>
  </si>
  <si>
    <t>3131</t>
  </si>
  <si>
    <t>Здійснення заходів та реалізація проектів на виконання Державної цільової соціальної програми "Молодь України"</t>
  </si>
  <si>
    <t>5011</t>
  </si>
  <si>
    <t>0810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</si>
  <si>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</si>
  <si>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</si>
  <si>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</si>
  <si>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5021</t>
  </si>
  <si>
    <t>Утримання центрів фізичної культури і спорту осіб з інвалідністю і реабілітаційних шкіл</t>
  </si>
  <si>
    <t>5022</t>
  </si>
  <si>
    <t>Проведення навчально-тренувальних зборів і змагань та заходів зі спорту осіб з інвалідністю </t>
  </si>
  <si>
    <t>5031</t>
  </si>
  <si>
    <t>Утримання та навчально-тренувальна робота комунальних дитячо-юнацьких спортивних шкіл</t>
  </si>
  <si>
    <t>5032</t>
  </si>
  <si>
    <t>Фінансова підтримка дитячо-юнацьких спортивних шкіл фізкультурно-спортивних товариств</t>
  </si>
  <si>
    <t>5033</t>
  </si>
  <si>
    <t>Забезпечення підготовки спортсменів школами вищої спортивної майстерності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</si>
  <si>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</si>
  <si>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</si>
  <si>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</si>
  <si>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</si>
  <si>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</si>
  <si>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</si>
  <si>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0611161</t>
  </si>
  <si>
    <t>0990</t>
  </si>
  <si>
    <t>Забезпечення діяльності інших закладів у сфері освіти</t>
  </si>
  <si>
    <t>0615011</t>
  </si>
  <si>
    <t>0615012</t>
  </si>
  <si>
    <t>9310</t>
  </si>
  <si>
    <t>Субвенція з місцевого бюджету на здійснення переданих
видатків у сфері освіти за рахунок коштів освітньої субвенції (на оплату праці з нарахуваннями педагогічних працівників інклюзивно-ресурсних центрів)</t>
  </si>
  <si>
    <t>0913111</t>
  </si>
  <si>
    <t>0913112</t>
  </si>
  <si>
    <t>3112</t>
  </si>
  <si>
    <t>Заходи державної політики з питань дітей та їх соціального захисту</t>
  </si>
  <si>
    <t>4081</t>
  </si>
  <si>
    <t>0829</t>
  </si>
  <si>
    <t xml:space="preserve">Забезпечення діяльності інших закладів в галузі культури і мистецтва </t>
  </si>
  <si>
    <t>4082</t>
  </si>
  <si>
    <t>Інші заходи в галузі культури і мистецтва</t>
  </si>
  <si>
    <t>Утримання та розвиток автомобільних доріг та дорожньої інфраструктури (Обласний територіальний дорожній фонд)</t>
  </si>
  <si>
    <t>Субвенція з місцевого бюджету державному бюджету на виконання програм соціально-економічного розвитку регіонів (Програма розвитку земельних відносин у Хмельницькій області на 2018-2022 роки)</t>
  </si>
  <si>
    <t>0113242</t>
  </si>
  <si>
    <t>0117680</t>
  </si>
  <si>
    <t>7680</t>
  </si>
  <si>
    <t>Членські внески до асоціацій органів місцевого самоврядування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</si>
  <si>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</si>
  <si>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</si>
  <si>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</si>
  <si>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0813240</t>
  </si>
  <si>
    <t>0813140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</si>
  <si>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(видатки розвитку)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</si>
  <si>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(видатки споживання)</t>
  </si>
  <si>
    <r>
      <t xml:space="preserve">Департамент економічного розвитку, промисловості та інфраструктури ОДА </t>
    </r>
    <r>
      <rPr>
        <sz val="10"/>
        <rFont val="Times New Roman"/>
        <family val="1"/>
        <charset val="204"/>
      </rPr>
      <t>(головний розпорядник)</t>
    </r>
  </si>
  <si>
    <r>
      <t xml:space="preserve">Департамент економічного розвитку, промисловості та інфраструктури ОДА 
</t>
    </r>
    <r>
      <rPr>
        <sz val="10"/>
        <rFont val="Times New Roman"/>
        <family val="1"/>
        <charset val="204"/>
      </rPr>
      <t>(відповідальний виконавець)</t>
    </r>
    <r>
      <rPr>
        <b/>
        <sz val="10"/>
        <rFont val="Times New Roman"/>
        <family val="1"/>
        <charset val="204"/>
      </rPr>
      <t xml:space="preserve"> </t>
    </r>
  </si>
  <si>
    <t>7630</t>
  </si>
  <si>
    <t>0470</t>
  </si>
  <si>
    <t>Реалізація програм і заходів в галузі зовнішньоекономічної діяльності</t>
  </si>
  <si>
    <t>Всього</t>
  </si>
  <si>
    <t>Доходи</t>
  </si>
  <si>
    <t>Вільні лишки на 1.01.2016</t>
  </si>
  <si>
    <t>Кредитування</t>
  </si>
  <si>
    <t>Передача до бюджету розвитку</t>
  </si>
  <si>
    <t>Всього видатків</t>
  </si>
  <si>
    <t>Баланс</t>
  </si>
  <si>
    <t>0456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</si>
  <si>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</si>
  <si>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</si>
  <si>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</si>
  <si>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r>
      <t>Утримання закладів, що надають соціальні послуги дітям, які опинились у складних життєвих обставинах,</t>
    </r>
    <r>
      <rPr>
        <sz val="10"/>
        <color indexed="10"/>
        <rFont val="Times New Roman"/>
        <family val="1"/>
        <charset val="204"/>
      </rPr>
      <t xml:space="preserve"> підтримка функціонування дитячих будинків сімейного типу та прийомних сімей</t>
    </r>
  </si>
  <si>
    <r>
      <t xml:space="preserve">Утримання закладів, що надають соціальні послуги дітям, які опинились у складних життєвих обставинах, </t>
    </r>
    <r>
      <rPr>
        <sz val="10"/>
        <color indexed="10"/>
        <rFont val="Times New Roman"/>
        <family val="1"/>
        <charset val="204"/>
      </rPr>
      <t>підтримка функціонування дитячих будинків сімейного типу та прийомних сімей</t>
    </r>
  </si>
  <si>
    <r>
  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</t>
    </r>
    <r>
      <rPr>
        <sz val="10"/>
        <color indexed="10"/>
        <rFont val="Times New Roman"/>
        <family val="1"/>
        <charset val="204"/>
      </rPr>
      <t xml:space="preserve">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</t>
    </r>
    <r>
      <rPr>
        <sz val="10"/>
        <rFont val="Times New Roman"/>
        <family val="1"/>
        <charset val="204"/>
      </rPr>
      <t>за рахунок відповідної субвенції з державного бюджету</t>
    </r>
  </si>
  <si>
    <r>
  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  </r>
    <r>
      <rPr>
        <sz val="10"/>
        <color indexed="10"/>
        <rFont val="Times New Roman"/>
        <family val="1"/>
        <charset val="204"/>
      </rPr>
      <t xml:space="preserve">, підтримку малих групових будинків </t>
    </r>
    <r>
      <rPr>
        <sz val="10"/>
        <rFont val="Times New Roman"/>
        <family val="1"/>
        <charset val="204"/>
      </rPr>
      <t>за рахунок відповідної субвенції з державного бюджету</t>
    </r>
  </si>
  <si>
    <r>
  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</t>
    </r>
    <r>
      <rPr>
        <sz val="10"/>
        <color indexed="10"/>
        <rFont val="Times New Roman"/>
        <family val="1"/>
        <charset val="204"/>
      </rPr>
      <t xml:space="preserve"> дітей, позбавлених батьківського піклування, </t>
    </r>
    <r>
      <rPr>
        <sz val="10"/>
        <rFont val="Times New Roman"/>
        <family val="1"/>
        <charset val="204"/>
      </rPr>
      <t>осіб з їх числа за рахунок відповідної субвенції з державного бюджету</t>
    </r>
  </si>
  <si>
    <t>9320</t>
  </si>
  <si>
    <t>Субвенція з місцевого бюджету за рахунок залишку коштів освітньої субвенції, що утворився на початок бюджетного періоду (закупівля україномовних дедактичних матеріалів для закладів загальної середньої освіти з навчання мовами національних меншин)</t>
  </si>
  <si>
    <t>Субвенція з місцевого бюджету за рахунок залишку коштів освітньої субвенції, що утворився на початок бюджетного періоду (придбання шкільних автобусів)</t>
  </si>
  <si>
    <t>Субвенція з місцевого бюджету за рахунок залишку коштів освітньої субвенції, що утворився на початок бюджетного періоду (оснащення закладів загальної середньої освіти засобами навчання та обладнанням для кабінетів природничо-математичних предметів)</t>
  </si>
  <si>
    <t>Субвенція з місцевого бюджету за рахунок залишку коштів освітньої субвенції, що утворився на початок бюджетного періоду (забезпечення належних санітарно-гігієнічних умов у приміщеннях закладів загальної середньої освіти)</t>
  </si>
  <si>
    <t>Субвенція з місцевого бюджету за рахунок залишку коштів освітньої субвенції, що утворився на початок бюджетного періоду (придбання медіатек)</t>
  </si>
  <si>
    <t>0813192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</si>
  <si>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</si>
  <si>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</si>
  <si>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</si>
  <si>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Утримання та розвиток автомобільних доріг та дорожньої інфраструктури за рахунок коштів місцевого бюджету</t>
  </si>
  <si>
    <t>Утримання та розвиток автомобільних доріг та дорожньої інфраструктури за рахунок субвенції з державного бюджету (Обласний територіальний дорожній фонд)</t>
  </si>
  <si>
    <t>0421</t>
  </si>
  <si>
    <t xml:space="preserve">Реалізація програм в галузі сільського господарства </t>
  </si>
  <si>
    <r>
      <t>Департамент агропромислового розвитку ОДА</t>
    </r>
    <r>
      <rPr>
        <sz val="10"/>
        <color indexed="10"/>
        <rFont val="Times New Roman"/>
        <family val="1"/>
        <charset val="204"/>
      </rPr>
      <t xml:space="preserve"> (відповідальний виконавець)</t>
    </r>
  </si>
  <si>
    <t>7460</t>
  </si>
  <si>
    <t>Утримання та розвиток автомобільних доріг та дорожньої інфраструктури</t>
  </si>
  <si>
    <t>7464</t>
  </si>
  <si>
    <t>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м. Києві, а також дорожньої інфраструктури у м. Києві"</t>
  </si>
  <si>
    <t>7640</t>
  </si>
  <si>
    <t>Заходи з енергозбереження</t>
  </si>
  <si>
    <t>7693</t>
  </si>
  <si>
    <t>Інші заходи, пов'язані з економічною діяльністю</t>
  </si>
  <si>
    <t>3719540</t>
  </si>
  <si>
    <t>9540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</si>
  <si>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</si>
  <si>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3719500</t>
  </si>
  <si>
    <t>9500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</si>
  <si>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 (Обласний територіальний дорожній фонд)</t>
  </si>
  <si>
    <t>3719740</t>
  </si>
  <si>
    <t>9740</t>
  </si>
  <si>
    <t>Субвенція з місцевого бюджету на здійснення природоохоронних заходів (Обласний фонд охорони навколишнього природного середовища)</t>
  </si>
  <si>
    <t>Субвенція з місцевого бюджету державному бюджету на виконання програм соціально-економічного розвитку регіонів (Комплексна програма профілактики правопорушень та боротьби зі злочинністю на території Хмельницької області на 2016-2020 роки)</t>
  </si>
  <si>
    <t>Субвенція з місцевого бюджету державному бюджету на виконання програм соціально-економічного розвитку регіонів (Програма забезпечення антитерористичного та протидиверсійного захисту важливих державних, військових об’єктів, місць масового перебування людей, об’єктів критичної та транспортної інфраструктури 
Хмельницької області на 2018 – 2019 роки)</t>
  </si>
  <si>
    <t>Субвенція з місцевого бюджету державному бюджету на виконання програм соціально-економічного розвитку регіонів (Програма підвищення ефективності виконання повноважень органами виконавчої влади щодо реалізації державної регіональної політики та впровадження реформ на 2016 - 2019 роки)</t>
  </si>
  <si>
    <t>Субвенція з місцевого бюджету державному бюджету на виконання програм соціально-економічного розвитку регіонів (Обласна програма розвитку архівної справи на 2018–2021 роки)</t>
  </si>
  <si>
    <t>Субвенція з місцевого бюджету державному бюджету на виконання програм соціально-економічного розвитку регіонів (Обласна програма правової освіти населення на 2016 - 2020 роки)</t>
  </si>
  <si>
    <t>Субвенція з місцевого бюджету державному бюджету на виконання програм соціально-економічного розвитку регіонів (Програма підвищення обороноздатності та бойової готовності військових частин Збройних Сил України, які розташовані на території Хмельницької області, на 2018-2019 роки)</t>
  </si>
  <si>
    <t>Субвенція з місцевого бюджету державному бюджету на виконання програм соціально-економічного розвитку регіонів (Обласна програма "Територіальна оборона на 2017 - 2020 роки")</t>
  </si>
  <si>
    <t>Інша економічна діяльність</t>
  </si>
  <si>
    <t>0117690</t>
  </si>
  <si>
    <t>7690</t>
  </si>
  <si>
    <t>0117693</t>
  </si>
  <si>
    <t>0117670</t>
  </si>
  <si>
    <t>Внески до статутного капіталу суб’єктів господарювання</t>
  </si>
  <si>
    <t>7670</t>
  </si>
  <si>
    <t>0717363</t>
  </si>
  <si>
    <t>Виконання інвестиційних проектів в рамках здійснення заходів щодо соціально-економічного розвитку окремих територій</t>
  </si>
  <si>
    <t>переросп</t>
  </si>
  <si>
    <t xml:space="preserve">  +500 грн.залишок</t>
  </si>
  <si>
    <t>7430</t>
  </si>
  <si>
    <t>0454</t>
  </si>
  <si>
    <t>Утримання та розвиток місцевих аеропортів</t>
  </si>
  <si>
    <t>3719420</t>
  </si>
  <si>
    <t>9420</t>
  </si>
  <si>
    <t>Субвенція з місцевого бюджету за рахунок залишку коштів медичної субвенції, що утворився на початок бюджетного періоду (на лікування хворих на цукровий та нецукровий діабет)</t>
  </si>
  <si>
    <t>0717322</t>
  </si>
  <si>
    <t>7322</t>
  </si>
  <si>
    <t>0443</t>
  </si>
  <si>
    <t>Будівництво медичних установ та закладів</t>
  </si>
  <si>
    <r>
      <t>Департамент агропромислового розвитку ОДА</t>
    </r>
    <r>
      <rPr>
        <i/>
        <sz val="10"/>
        <color indexed="10"/>
        <rFont val="Times New Roman"/>
        <family val="1"/>
        <charset val="204"/>
      </rPr>
      <t xml:space="preserve"> </t>
    </r>
    <r>
      <rPr>
        <sz val="10"/>
        <color indexed="10"/>
        <rFont val="Times New Roman"/>
        <family val="1"/>
        <charset val="204"/>
      </rPr>
      <t>(головний розпорядник)</t>
    </r>
  </si>
  <si>
    <t>Субвенція з місцевого бюджету на здійснення переданих видатків у сфері охорони здоров’я за рахунок коштів медичної субвенції (цільові кошти на лікування хворих на хронічну ниркову недостатність методом гемодіалізу)</t>
  </si>
  <si>
    <t xml:space="preserve">Інші субвенції з місцевого бюджету (на фінансування мікропроектів сталого місцевого розвитку) </t>
  </si>
  <si>
    <t>"Про внесення змін до обласного бюджету Хмельницької області 
на 2019 рік"</t>
  </si>
  <si>
    <t>від __________ 2019 року №</t>
  </si>
  <si>
    <t>0119770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</si>
</sst>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8" formatCode="_-* #,##0.00\ &quot;грн.&quot;_-;\-* #,##0.00\ &quot;грн.&quot;_-;_-* &quot;-&quot;??\ &quot;грн.&quot;_-;_-@_-"/>
    <numFmt numFmtId="180" formatCode="#,##0.0"/>
    <numFmt numFmtId="185" formatCode="0.0"/>
  </numFmts>
  <fonts count="19" x14ac:knownFonts="1">
    <font>
      <sz val="10"/>
      <color indexed="8"/>
      <name val="MS Sans Serif"/>
      <charset val="204"/>
    </font>
    <font>
      <b/>
      <sz val="8.0500000000000007"/>
      <color indexed="8"/>
      <name val="Times New Roman"/>
      <charset val="204"/>
    </font>
    <font>
      <u/>
      <sz val="11.5"/>
      <color indexed="12"/>
      <name val="MS Sans Serif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78" fontId="1" fillId="0" borderId="0" applyFont="0" applyFill="0" applyBorder="0" applyAlignment="0" applyProtection="0"/>
  </cellStyleXfs>
  <cellXfs count="15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85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vertical="center" wrapText="1"/>
    </xf>
    <xf numFmtId="185" fontId="4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85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2" fontId="4" fillId="0" borderId="4" xfId="0" applyNumberFormat="1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/>
    </xf>
    <xf numFmtId="3" fontId="4" fillId="0" borderId="1" xfId="1" applyNumberFormat="1" applyFont="1" applyBorder="1" applyAlignment="1" applyProtection="1">
      <alignment horizontal="center" vertical="center" wrapText="1"/>
    </xf>
    <xf numFmtId="185" fontId="4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2" fillId="0" borderId="6" xfId="0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center" vertical="center"/>
    </xf>
    <xf numFmtId="0" fontId="4" fillId="2" borderId="0" xfId="0" applyFont="1" applyFill="1"/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80" fontId="4" fillId="0" borderId="0" xfId="0" applyNumberFormat="1" applyFont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180" fontId="3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vertical="center"/>
    </xf>
    <xf numFmtId="0" fontId="14" fillId="0" borderId="5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3" fontId="14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left" vertical="center" wrapText="1"/>
    </xf>
    <xf numFmtId="3" fontId="14" fillId="0" borderId="4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3" fontId="14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49" fontId="14" fillId="0" borderId="1" xfId="0" applyNumberFormat="1" applyFont="1" applyBorder="1" applyAlignment="1">
      <alignment horizontal="center" vertical="center" wrapText="1"/>
    </xf>
    <xf numFmtId="185" fontId="14" fillId="0" borderId="1" xfId="0" applyNumberFormat="1" applyFont="1" applyBorder="1" applyAlignment="1">
      <alignment horizontal="left" vertical="center" wrapText="1"/>
    </xf>
    <xf numFmtId="3" fontId="15" fillId="0" borderId="0" xfId="0" applyNumberFormat="1" applyFont="1" applyAlignment="1">
      <alignment vertical="center" wrapText="1"/>
    </xf>
    <xf numFmtId="3" fontId="14" fillId="0" borderId="0" xfId="0" applyNumberFormat="1" applyFont="1" applyAlignment="1">
      <alignment vertical="center"/>
    </xf>
    <xf numFmtId="3" fontId="15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4" fontId="17" fillId="0" borderId="0" xfId="0" applyNumberFormat="1" applyFont="1" applyAlignment="1">
      <alignment vertical="center"/>
    </xf>
    <xf numFmtId="3" fontId="14" fillId="0" borderId="1" xfId="0" applyNumberFormat="1" applyFont="1" applyBorder="1" applyAlignment="1">
      <alignment vertical="center"/>
    </xf>
    <xf numFmtId="3" fontId="14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0" xfId="0" applyFont="1"/>
    <xf numFmtId="4" fontId="14" fillId="0" borderId="0" xfId="0" applyNumberFormat="1" applyFont="1"/>
    <xf numFmtId="4" fontId="17" fillId="0" borderId="0" xfId="0" applyNumberFormat="1" applyFont="1"/>
    <xf numFmtId="0" fontId="15" fillId="0" borderId="5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4" fontId="15" fillId="0" borderId="0" xfId="0" applyNumberFormat="1" applyFont="1" applyAlignment="1">
      <alignment vertical="center"/>
    </xf>
    <xf numFmtId="4" fontId="18" fillId="0" borderId="0" xfId="0" applyNumberFormat="1" applyFont="1" applyAlignment="1">
      <alignment vertical="center"/>
    </xf>
    <xf numFmtId="49" fontId="14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3" fontId="14" fillId="0" borderId="0" xfId="0" applyNumberFormat="1" applyFont="1" applyAlignment="1">
      <alignment vertical="center" wrapText="1"/>
    </xf>
    <xf numFmtId="0" fontId="14" fillId="0" borderId="1" xfId="0" applyFont="1" applyBorder="1" applyAlignment="1">
      <alignment horizontal="left" vertical="center" wrapText="1" shrinkToFit="1"/>
    </xf>
    <xf numFmtId="3" fontId="14" fillId="0" borderId="1" xfId="0" applyNumberFormat="1" applyFont="1" applyBorder="1" applyAlignment="1">
      <alignment vertical="center" wrapText="1"/>
    </xf>
    <xf numFmtId="185" fontId="15" fillId="0" borderId="1" xfId="0" applyNumberFormat="1" applyFont="1" applyBorder="1" applyAlignment="1">
      <alignment horizontal="left" vertical="center" wrapText="1"/>
    </xf>
    <xf numFmtId="3" fontId="15" fillId="0" borderId="0" xfId="0" applyNumberFormat="1" applyFont="1" applyAlignment="1">
      <alignment horizontal="right" vertical="center"/>
    </xf>
    <xf numFmtId="3" fontId="11" fillId="0" borderId="0" xfId="0" applyNumberFormat="1" applyFont="1" applyAlignment="1">
      <alignment vertical="center"/>
    </xf>
    <xf numFmtId="3" fontId="15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vertical="center" wrapText="1"/>
    </xf>
    <xf numFmtId="3" fontId="14" fillId="0" borderId="0" xfId="0" applyNumberFormat="1" applyFont="1" applyAlignment="1">
      <alignment horizontal="right" vertical="center"/>
    </xf>
    <xf numFmtId="3" fontId="14" fillId="2" borderId="1" xfId="0" applyNumberFormat="1" applyFont="1" applyFill="1" applyBorder="1" applyAlignment="1">
      <alignment horizontal="center" vertical="center" wrapText="1"/>
    </xf>
    <xf numFmtId="3" fontId="16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/>
    <xf numFmtId="3" fontId="15" fillId="2" borderId="1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185" fontId="14" fillId="0" borderId="2" xfId="0" applyNumberFormat="1" applyFont="1" applyBorder="1" applyAlignment="1">
      <alignment horizontal="left" vertical="center" wrapText="1"/>
    </xf>
    <xf numFmtId="3" fontId="5" fillId="0" borderId="0" xfId="0" applyNumberFormat="1" applyFont="1" applyAlignment="1">
      <alignment horizontal="center" vertical="center"/>
    </xf>
    <xf numFmtId="3" fontId="4" fillId="2" borderId="0" xfId="0" applyNumberFormat="1" applyFont="1" applyFill="1"/>
    <xf numFmtId="3" fontId="14" fillId="0" borderId="0" xfId="0" applyNumberFormat="1" applyFont="1"/>
    <xf numFmtId="4" fontId="13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top" wrapText="1"/>
    </xf>
    <xf numFmtId="178" fontId="10" fillId="0" borderId="0" xfId="2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3">
    <cellStyle name="Гіперпосилання" xfId="1" builtinId="8"/>
    <cellStyle name="Грошовий" xfId="2" builtinId="4"/>
    <cellStyle name="Звичайни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110;&#1103;%20dod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30;&#1074;&#1072;&#1085;&#1086;&#1074;&#1072;\&#1079;&#1084;&#1110;&#1085;&#1080;%20&#1076;&#1086;%20&#1073;&#1102;&#1076;&#1078;&#1077;&#1090;&#1091;%2024%20&#1087;&#1086;&#1079;&#1072;&#1095;&#1077;&#1088;&#1075;&#1086;&#1074;&#1072;\dod%2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30;&#1074;&#1072;&#1085;&#1086;&#1074;&#1072;\&#1079;&#1084;&#1110;&#1085;&#1080;%20&#1076;&#1086;%20&#1073;&#1102;&#1076;&#1078;&#1077;&#1090;&#1091;%2024%20&#1087;&#1086;&#1079;&#1072;&#1095;&#1077;&#1088;&#1075;&#1086;&#1074;&#1072;\dod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 1 29.11"/>
    </sheetNames>
    <sheetDataSet>
      <sheetData sheetId="0">
        <row r="87">
          <cell r="D87">
            <v>6817072350</v>
          </cell>
          <cell r="E87">
            <v>709191485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.4"/>
    </sheetNames>
    <sheetDataSet>
      <sheetData sheetId="0">
        <row r="24">
          <cell r="N24">
            <v>300000</v>
          </cell>
          <cell r="O24">
            <v>861585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d4 (2)"/>
    </sheetNames>
    <sheetDataSet>
      <sheetData sheetId="0">
        <row r="12">
          <cell r="D12">
            <v>135394079.47</v>
          </cell>
          <cell r="E12">
            <v>171903468.53</v>
          </cell>
        </row>
        <row r="14">
          <cell r="D14">
            <v>-316808531.47000003</v>
          </cell>
          <cell r="E14">
            <v>316808531.47000003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197"/>
  <sheetViews>
    <sheetView tabSelected="1" view="pageBreakPreview" zoomScale="75" zoomScaleNormal="75" zoomScaleSheetLayoutView="75" workbookViewId="0">
      <pane xSplit="4" ySplit="13" topLeftCell="E46" activePane="bottomRight" state="frozen"/>
      <selection pane="topRight" activeCell="F1" sqref="F1"/>
      <selection pane="bottomLeft" activeCell="A14" sqref="A14"/>
      <selection pane="bottomRight" activeCell="R48" sqref="R48"/>
    </sheetView>
  </sheetViews>
  <sheetFormatPr defaultColWidth="11.42578125" defaultRowHeight="12.75" x14ac:dyDescent="0.2"/>
  <cols>
    <col min="1" max="1" width="8.85546875" style="4" customWidth="1"/>
    <col min="2" max="2" width="9.28515625" style="4" customWidth="1"/>
    <col min="3" max="3" width="8.85546875" style="4" customWidth="1"/>
    <col min="4" max="4" width="35.140625" style="4" customWidth="1"/>
    <col min="5" max="5" width="16.7109375" style="24" customWidth="1"/>
    <col min="6" max="6" width="15" style="24" customWidth="1"/>
    <col min="7" max="7" width="13.7109375" style="24" customWidth="1"/>
    <col min="8" max="8" width="15" style="24" customWidth="1"/>
    <col min="9" max="9" width="13.85546875" style="4" customWidth="1"/>
    <col min="10" max="10" width="15.85546875" style="24" customWidth="1"/>
    <col min="11" max="11" width="12" style="24" customWidth="1"/>
    <col min="12" max="12" width="14.42578125" style="24" customWidth="1"/>
    <col min="13" max="13" width="11.28515625" style="24" customWidth="1"/>
    <col min="14" max="14" width="12.28515625" style="24" customWidth="1"/>
    <col min="15" max="15" width="14.85546875" style="24" customWidth="1"/>
    <col min="16" max="16" width="16.42578125" style="58" customWidth="1"/>
    <col min="17" max="17" width="14.140625" style="84" customWidth="1"/>
    <col min="18" max="18" width="13.140625" style="84" bestFit="1" customWidth="1"/>
    <col min="19" max="16384" width="11.42578125" style="4"/>
  </cols>
  <sheetData>
    <row r="1" spans="1:18" hidden="1" x14ac:dyDescent="0.2"/>
    <row r="2" spans="1:18" ht="20.45" customHeight="1" x14ac:dyDescent="0.2">
      <c r="L2" s="141" t="s">
        <v>99</v>
      </c>
      <c r="M2" s="141"/>
      <c r="N2" s="141"/>
      <c r="O2" s="141"/>
      <c r="P2" s="141"/>
    </row>
    <row r="3" spans="1:18" ht="18.75" x14ac:dyDescent="0.2">
      <c r="L3" s="133" t="s">
        <v>6</v>
      </c>
      <c r="M3" s="133"/>
      <c r="N3" s="133"/>
      <c r="O3" s="133"/>
      <c r="P3" s="133"/>
    </row>
    <row r="4" spans="1:18" ht="34.15" customHeight="1" x14ac:dyDescent="0.2">
      <c r="K4" s="143" t="s">
        <v>408</v>
      </c>
      <c r="L4" s="143"/>
      <c r="M4" s="143"/>
      <c r="N4" s="143"/>
      <c r="O4" s="143"/>
      <c r="P4" s="143"/>
    </row>
    <row r="5" spans="1:18" ht="27" customHeight="1" x14ac:dyDescent="0.2">
      <c r="L5" s="142" t="s">
        <v>409</v>
      </c>
      <c r="M5" s="142"/>
      <c r="N5" s="142"/>
      <c r="O5" s="142"/>
      <c r="P5" s="142"/>
    </row>
    <row r="6" spans="1:18" x14ac:dyDescent="0.2">
      <c r="O6" s="32"/>
      <c r="P6" s="57"/>
    </row>
    <row r="7" spans="1:18" ht="20.45" customHeight="1" x14ac:dyDescent="0.2">
      <c r="A7" s="144" t="s">
        <v>240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</row>
    <row r="8" spans="1:18" ht="15.75" x14ac:dyDescent="0.2">
      <c r="P8" s="62" t="s">
        <v>248</v>
      </c>
    </row>
    <row r="9" spans="1:18" ht="13.15" customHeight="1" x14ac:dyDescent="0.2">
      <c r="A9" s="145" t="s">
        <v>241</v>
      </c>
      <c r="B9" s="145" t="s">
        <v>242</v>
      </c>
      <c r="C9" s="145" t="s">
        <v>243</v>
      </c>
      <c r="D9" s="149" t="s">
        <v>244</v>
      </c>
      <c r="E9" s="135" t="s">
        <v>78</v>
      </c>
      <c r="F9" s="136"/>
      <c r="G9" s="136"/>
      <c r="H9" s="136"/>
      <c r="I9" s="137"/>
      <c r="J9" s="148" t="s">
        <v>79</v>
      </c>
      <c r="K9" s="148"/>
      <c r="L9" s="148"/>
      <c r="M9" s="148"/>
      <c r="N9" s="148"/>
      <c r="O9" s="148"/>
      <c r="P9" s="152" t="s">
        <v>3</v>
      </c>
    </row>
    <row r="10" spans="1:18" x14ac:dyDescent="0.2">
      <c r="A10" s="146"/>
      <c r="B10" s="146"/>
      <c r="C10" s="146"/>
      <c r="D10" s="150"/>
      <c r="E10" s="134" t="s">
        <v>246</v>
      </c>
      <c r="F10" s="138" t="s">
        <v>13</v>
      </c>
      <c r="G10" s="134" t="s">
        <v>0</v>
      </c>
      <c r="H10" s="134"/>
      <c r="I10" s="138" t="s">
        <v>14</v>
      </c>
      <c r="J10" s="134" t="s">
        <v>246</v>
      </c>
      <c r="K10" s="138" t="s">
        <v>249</v>
      </c>
      <c r="L10" s="138" t="s">
        <v>13</v>
      </c>
      <c r="M10" s="134" t="s">
        <v>0</v>
      </c>
      <c r="N10" s="134"/>
      <c r="O10" s="138" t="s">
        <v>14</v>
      </c>
      <c r="P10" s="153"/>
    </row>
    <row r="11" spans="1:18" ht="3.6" customHeight="1" x14ac:dyDescent="0.2">
      <c r="A11" s="146"/>
      <c r="B11" s="146"/>
      <c r="C11" s="146"/>
      <c r="D11" s="151"/>
      <c r="E11" s="134"/>
      <c r="F11" s="139"/>
      <c r="G11" s="134" t="s">
        <v>1</v>
      </c>
      <c r="H11" s="134" t="s">
        <v>2</v>
      </c>
      <c r="I11" s="139"/>
      <c r="J11" s="134"/>
      <c r="K11" s="139"/>
      <c r="L11" s="139"/>
      <c r="M11" s="134" t="s">
        <v>1</v>
      </c>
      <c r="N11" s="134" t="s">
        <v>2</v>
      </c>
      <c r="O11" s="139"/>
      <c r="P11" s="153"/>
    </row>
    <row r="12" spans="1:18" ht="66.599999999999994" customHeight="1" x14ac:dyDescent="0.2">
      <c r="A12" s="147"/>
      <c r="B12" s="147"/>
      <c r="C12" s="147"/>
      <c r="D12" s="27" t="s">
        <v>245</v>
      </c>
      <c r="E12" s="134"/>
      <c r="F12" s="140"/>
      <c r="G12" s="134"/>
      <c r="H12" s="134"/>
      <c r="I12" s="140"/>
      <c r="J12" s="134"/>
      <c r="K12" s="140"/>
      <c r="L12" s="140"/>
      <c r="M12" s="134"/>
      <c r="N12" s="134"/>
      <c r="O12" s="140"/>
      <c r="P12" s="154"/>
    </row>
    <row r="13" spans="1:18" s="31" customFormat="1" ht="15" x14ac:dyDescent="0.2">
      <c r="A13" s="30">
        <v>1</v>
      </c>
      <c r="B13" s="30">
        <v>2</v>
      </c>
      <c r="C13" s="30">
        <v>3</v>
      </c>
      <c r="D13" s="30">
        <v>4</v>
      </c>
      <c r="E13" s="30">
        <v>5</v>
      </c>
      <c r="F13" s="30">
        <v>6</v>
      </c>
      <c r="G13" s="30">
        <v>7</v>
      </c>
      <c r="H13" s="30">
        <v>8</v>
      </c>
      <c r="I13" s="30">
        <v>9</v>
      </c>
      <c r="J13" s="30">
        <v>10</v>
      </c>
      <c r="K13" s="30">
        <v>11</v>
      </c>
      <c r="L13" s="30">
        <v>12</v>
      </c>
      <c r="M13" s="30">
        <v>13</v>
      </c>
      <c r="N13" s="30">
        <v>14</v>
      </c>
      <c r="O13" s="30">
        <v>15</v>
      </c>
      <c r="P13" s="48" t="s">
        <v>15</v>
      </c>
      <c r="Q13" s="128"/>
      <c r="R13" s="128"/>
    </row>
    <row r="14" spans="1:18" s="6" customFormat="1" ht="30.6" customHeight="1" x14ac:dyDescent="0.2">
      <c r="A14" s="3" t="s">
        <v>4</v>
      </c>
      <c r="B14" s="3"/>
      <c r="C14" s="3"/>
      <c r="D14" s="17" t="s">
        <v>89</v>
      </c>
      <c r="E14" s="23">
        <f>F14+I14</f>
        <v>27093900</v>
      </c>
      <c r="F14" s="23">
        <f>F15</f>
        <v>27093900</v>
      </c>
      <c r="G14" s="23">
        <f>G15</f>
        <v>10270500</v>
      </c>
      <c r="H14" s="23">
        <f>H15</f>
        <v>3537400</v>
      </c>
      <c r="I14" s="23">
        <f>I15</f>
        <v>0</v>
      </c>
      <c r="J14" s="23">
        <f t="shared" ref="J14:J49" si="0">L14+O14</f>
        <v>13123460</v>
      </c>
      <c r="K14" s="23">
        <f>K15</f>
        <v>12903460</v>
      </c>
      <c r="L14" s="23">
        <f>L15</f>
        <v>220000</v>
      </c>
      <c r="M14" s="23">
        <f>M15</f>
        <v>0</v>
      </c>
      <c r="N14" s="23">
        <f>N15</f>
        <v>0</v>
      </c>
      <c r="O14" s="23">
        <f>O15</f>
        <v>12903460</v>
      </c>
      <c r="P14" s="23">
        <f>E14+J14</f>
        <v>40217360</v>
      </c>
      <c r="Q14" s="75">
        <v>235680205</v>
      </c>
      <c r="R14" s="75">
        <f>P14-Q14</f>
        <v>-195462845</v>
      </c>
    </row>
    <row r="15" spans="1:18" s="6" customFormat="1" ht="38.25" x14ac:dyDescent="0.2">
      <c r="A15" s="3" t="s">
        <v>5</v>
      </c>
      <c r="B15" s="3"/>
      <c r="C15" s="3"/>
      <c r="D15" s="17" t="s">
        <v>90</v>
      </c>
      <c r="E15" s="23">
        <f>F15+I15</f>
        <v>27093900</v>
      </c>
      <c r="F15" s="23">
        <f>F16+F17+F19+F20+F25+F23+F22</f>
        <v>27093900</v>
      </c>
      <c r="G15" s="23">
        <f>G16+G17+G19+G20+G25+G23+G22</f>
        <v>10270500</v>
      </c>
      <c r="H15" s="23">
        <f>H16+H17+H19+H20+H25+H23+H22</f>
        <v>3537400</v>
      </c>
      <c r="I15" s="23">
        <f>I16+I17+I19+I20+I25+I23+I22</f>
        <v>0</v>
      </c>
      <c r="J15" s="23">
        <f t="shared" si="0"/>
        <v>13123460</v>
      </c>
      <c r="K15" s="23">
        <f>K16+K17+K19+K20+K25+K23+K22</f>
        <v>12903460</v>
      </c>
      <c r="L15" s="23">
        <f>L16+L17+L19+L20+L25+L23+L22</f>
        <v>220000</v>
      </c>
      <c r="M15" s="23">
        <f>M16+M17+M19+M20+M25+M23+M22</f>
        <v>0</v>
      </c>
      <c r="N15" s="23">
        <f>N16+N17+N19+N20+N25+N23+N22</f>
        <v>0</v>
      </c>
      <c r="O15" s="23">
        <f>O16+O17+O19+O20+O25+O23+O22</f>
        <v>12903460</v>
      </c>
      <c r="P15" s="23">
        <f t="shared" ref="P15:P76" si="1">E15+J15</f>
        <v>40217360</v>
      </c>
      <c r="Q15" s="75">
        <v>226230805</v>
      </c>
      <c r="R15" s="75">
        <f>E14-Q15</f>
        <v>-199136905</v>
      </c>
    </row>
    <row r="16" spans="1:18" ht="38.25" x14ac:dyDescent="0.2">
      <c r="A16" s="5" t="s">
        <v>129</v>
      </c>
      <c r="B16" s="5" t="s">
        <v>128</v>
      </c>
      <c r="C16" s="5" t="s">
        <v>36</v>
      </c>
      <c r="D16" s="18" t="s">
        <v>37</v>
      </c>
      <c r="E16" s="16">
        <f>F16+I16</f>
        <v>20208700</v>
      </c>
      <c r="F16" s="16">
        <v>20208700</v>
      </c>
      <c r="G16" s="16">
        <v>10270500</v>
      </c>
      <c r="H16" s="16">
        <v>3537400</v>
      </c>
      <c r="I16" s="11"/>
      <c r="J16" s="16">
        <f t="shared" si="0"/>
        <v>4220000</v>
      </c>
      <c r="K16" s="76">
        <f>4000000</f>
        <v>4000000</v>
      </c>
      <c r="L16" s="16">
        <v>220000</v>
      </c>
      <c r="M16" s="23"/>
      <c r="N16" s="16"/>
      <c r="O16" s="16">
        <f>K16</f>
        <v>4000000</v>
      </c>
      <c r="P16" s="23">
        <f t="shared" si="1"/>
        <v>24428700</v>
      </c>
      <c r="Q16" s="84">
        <v>9449400</v>
      </c>
      <c r="R16" s="84">
        <f>J14-Q16</f>
        <v>3674060</v>
      </c>
    </row>
    <row r="17" spans="1:18" ht="19.899999999999999" customHeight="1" x14ac:dyDescent="0.2">
      <c r="A17" s="13" t="s">
        <v>196</v>
      </c>
      <c r="B17" s="5">
        <v>3240</v>
      </c>
      <c r="C17" s="5"/>
      <c r="D17" s="20" t="s">
        <v>156</v>
      </c>
      <c r="E17" s="16">
        <f t="shared" ref="E17:E43" si="2">F17+I17</f>
        <v>5000000</v>
      </c>
      <c r="F17" s="16">
        <f>F18</f>
        <v>5000000</v>
      </c>
      <c r="G17" s="16">
        <f>G18</f>
        <v>0</v>
      </c>
      <c r="H17" s="16">
        <f>H18</f>
        <v>0</v>
      </c>
      <c r="I17" s="16">
        <f>I18</f>
        <v>0</v>
      </c>
      <c r="J17" s="16">
        <f t="shared" si="0"/>
        <v>0</v>
      </c>
      <c r="K17" s="16">
        <f>K18</f>
        <v>0</v>
      </c>
      <c r="L17" s="16">
        <f>L18</f>
        <v>0</v>
      </c>
      <c r="M17" s="16">
        <f>M18</f>
        <v>0</v>
      </c>
      <c r="N17" s="16">
        <f>N18</f>
        <v>0</v>
      </c>
      <c r="O17" s="16">
        <f>O18</f>
        <v>0</v>
      </c>
      <c r="P17" s="23">
        <f t="shared" si="1"/>
        <v>5000000</v>
      </c>
    </row>
    <row r="18" spans="1:18" ht="42" customHeight="1" x14ac:dyDescent="0.2">
      <c r="A18" s="13" t="s">
        <v>313</v>
      </c>
      <c r="B18" s="5" t="s">
        <v>267</v>
      </c>
      <c r="C18" s="5" t="s">
        <v>25</v>
      </c>
      <c r="D18" s="20" t="s">
        <v>268</v>
      </c>
      <c r="E18" s="16">
        <f t="shared" si="2"/>
        <v>5000000</v>
      </c>
      <c r="F18" s="76">
        <f>4000000+1000000</f>
        <v>5000000</v>
      </c>
      <c r="G18" s="16"/>
      <c r="H18" s="16"/>
      <c r="I18" s="16"/>
      <c r="J18" s="16">
        <f t="shared" si="0"/>
        <v>0</v>
      </c>
      <c r="K18" s="16"/>
      <c r="L18" s="16"/>
      <c r="M18" s="16"/>
      <c r="N18" s="23"/>
      <c r="O18" s="16">
        <f>K18</f>
        <v>0</v>
      </c>
      <c r="P18" s="23">
        <f t="shared" si="1"/>
        <v>5000000</v>
      </c>
    </row>
    <row r="19" spans="1:18" ht="25.5" x14ac:dyDescent="0.2">
      <c r="A19" s="5" t="s">
        <v>197</v>
      </c>
      <c r="B19" s="5" t="s">
        <v>47</v>
      </c>
      <c r="C19" s="5" t="s">
        <v>46</v>
      </c>
      <c r="D19" s="18" t="s">
        <v>198</v>
      </c>
      <c r="E19" s="16">
        <f t="shared" si="2"/>
        <v>1139400</v>
      </c>
      <c r="F19" s="16">
        <f>1139400+200599505-130000+298400-200767905</f>
        <v>1139400</v>
      </c>
      <c r="G19" s="16"/>
      <c r="H19" s="16"/>
      <c r="I19" s="11"/>
      <c r="J19" s="16">
        <f t="shared" si="0"/>
        <v>0</v>
      </c>
      <c r="K19" s="16"/>
      <c r="L19" s="16"/>
      <c r="M19" s="16"/>
      <c r="N19" s="16"/>
      <c r="O19" s="16">
        <f>K19</f>
        <v>0</v>
      </c>
      <c r="P19" s="23">
        <f t="shared" si="1"/>
        <v>1139400</v>
      </c>
    </row>
    <row r="20" spans="1:18" ht="25.5" x14ac:dyDescent="0.2">
      <c r="A20" s="5" t="s">
        <v>219</v>
      </c>
      <c r="B20" s="5">
        <v>7600</v>
      </c>
      <c r="C20" s="5"/>
      <c r="D20" s="18" t="s">
        <v>218</v>
      </c>
      <c r="E20" s="16">
        <f t="shared" si="2"/>
        <v>114800</v>
      </c>
      <c r="F20" s="16">
        <f>F21</f>
        <v>114800</v>
      </c>
      <c r="G20" s="16">
        <f>G21</f>
        <v>0</v>
      </c>
      <c r="H20" s="16">
        <f>H21</f>
        <v>0</v>
      </c>
      <c r="I20" s="16">
        <f>I21</f>
        <v>0</v>
      </c>
      <c r="J20" s="16">
        <f t="shared" si="0"/>
        <v>0</v>
      </c>
      <c r="K20" s="16">
        <f>K21</f>
        <v>0</v>
      </c>
      <c r="L20" s="16">
        <f>L21</f>
        <v>0</v>
      </c>
      <c r="M20" s="16">
        <f>M21</f>
        <v>0</v>
      </c>
      <c r="N20" s="16">
        <f>N21</f>
        <v>0</v>
      </c>
      <c r="O20" s="16">
        <f>O21</f>
        <v>0</v>
      </c>
      <c r="P20" s="23">
        <f t="shared" si="1"/>
        <v>114800</v>
      </c>
    </row>
    <row r="21" spans="1:18" ht="37.9" customHeight="1" x14ac:dyDescent="0.2">
      <c r="A21" s="5" t="s">
        <v>314</v>
      </c>
      <c r="B21" s="5" t="s">
        <v>315</v>
      </c>
      <c r="C21" s="5" t="s">
        <v>220</v>
      </c>
      <c r="D21" s="18" t="s">
        <v>316</v>
      </c>
      <c r="E21" s="16">
        <f t="shared" si="2"/>
        <v>114800</v>
      </c>
      <c r="F21" s="16">
        <v>114800</v>
      </c>
      <c r="G21" s="16"/>
      <c r="H21" s="16"/>
      <c r="I21" s="11"/>
      <c r="J21" s="16">
        <f t="shared" si="0"/>
        <v>0</v>
      </c>
      <c r="K21" s="16"/>
      <c r="L21" s="16"/>
      <c r="M21" s="16"/>
      <c r="N21" s="16"/>
      <c r="O21" s="16">
        <f>K21</f>
        <v>0</v>
      </c>
      <c r="P21" s="23">
        <f t="shared" si="1"/>
        <v>114800</v>
      </c>
    </row>
    <row r="22" spans="1:18" s="72" customFormat="1" ht="37.9" customHeight="1" x14ac:dyDescent="0.2">
      <c r="A22" s="88" t="s">
        <v>388</v>
      </c>
      <c r="B22" s="125" t="s">
        <v>390</v>
      </c>
      <c r="C22" s="88" t="s">
        <v>220</v>
      </c>
      <c r="D22" s="113" t="s">
        <v>389</v>
      </c>
      <c r="E22" s="76">
        <f t="shared" si="2"/>
        <v>0</v>
      </c>
      <c r="F22" s="97"/>
      <c r="G22" s="97"/>
      <c r="H22" s="97"/>
      <c r="I22" s="114"/>
      <c r="J22" s="76">
        <f t="shared" si="0"/>
        <v>906000</v>
      </c>
      <c r="K22" s="76">
        <f>906000</f>
        <v>906000</v>
      </c>
      <c r="L22" s="97"/>
      <c r="M22" s="97"/>
      <c r="N22" s="76"/>
      <c r="O22" s="76">
        <f>K22</f>
        <v>906000</v>
      </c>
      <c r="P22" s="81">
        <f>E22+J22</f>
        <v>906000</v>
      </c>
      <c r="Q22" s="91"/>
      <c r="R22" s="91"/>
    </row>
    <row r="23" spans="1:18" s="72" customFormat="1" ht="30" customHeight="1" x14ac:dyDescent="0.2">
      <c r="A23" s="125" t="s">
        <v>385</v>
      </c>
      <c r="B23" s="125" t="s">
        <v>386</v>
      </c>
      <c r="C23" s="88"/>
      <c r="D23" s="113" t="s">
        <v>384</v>
      </c>
      <c r="E23" s="76">
        <f t="shared" si="2"/>
        <v>631000</v>
      </c>
      <c r="F23" s="97">
        <f>F24</f>
        <v>631000</v>
      </c>
      <c r="G23" s="97">
        <f>G24</f>
        <v>0</v>
      </c>
      <c r="H23" s="97">
        <f>H24</f>
        <v>0</v>
      </c>
      <c r="I23" s="97">
        <f>I24</f>
        <v>0</v>
      </c>
      <c r="J23" s="76">
        <f t="shared" si="0"/>
        <v>5150000</v>
      </c>
      <c r="K23" s="97">
        <f>K24</f>
        <v>5150000</v>
      </c>
      <c r="L23" s="97">
        <f>L24</f>
        <v>0</v>
      </c>
      <c r="M23" s="97">
        <f>M24</f>
        <v>0</v>
      </c>
      <c r="N23" s="97">
        <f>N24</f>
        <v>0</v>
      </c>
      <c r="O23" s="97">
        <f>O24</f>
        <v>5150000</v>
      </c>
      <c r="P23" s="81">
        <f t="shared" si="1"/>
        <v>5781000</v>
      </c>
      <c r="Q23" s="91"/>
      <c r="R23" s="91"/>
    </row>
    <row r="24" spans="1:18" s="72" customFormat="1" ht="37.9" customHeight="1" x14ac:dyDescent="0.2">
      <c r="A24" s="125" t="s">
        <v>387</v>
      </c>
      <c r="B24" s="125" t="s">
        <v>366</v>
      </c>
      <c r="C24" s="88" t="s">
        <v>220</v>
      </c>
      <c r="D24" s="113" t="s">
        <v>367</v>
      </c>
      <c r="E24" s="76">
        <f t="shared" si="2"/>
        <v>631000</v>
      </c>
      <c r="F24" s="97">
        <f>631000</f>
        <v>631000</v>
      </c>
      <c r="G24" s="97"/>
      <c r="H24" s="97"/>
      <c r="I24" s="114"/>
      <c r="J24" s="76">
        <f t="shared" si="0"/>
        <v>5150000</v>
      </c>
      <c r="K24" s="76">
        <f>5150000</f>
        <v>5150000</v>
      </c>
      <c r="L24" s="97"/>
      <c r="M24" s="97"/>
      <c r="N24" s="76"/>
      <c r="O24" s="76">
        <f>K24</f>
        <v>5150000</v>
      </c>
      <c r="P24" s="81">
        <f t="shared" si="1"/>
        <v>5781000</v>
      </c>
      <c r="Q24" s="91"/>
      <c r="R24" s="91"/>
    </row>
    <row r="25" spans="1:18" s="64" customFormat="1" ht="49.15" customHeight="1" x14ac:dyDescent="0.2">
      <c r="A25" s="88" t="s">
        <v>410</v>
      </c>
      <c r="B25" s="109" t="s">
        <v>131</v>
      </c>
      <c r="C25" s="109" t="s">
        <v>47</v>
      </c>
      <c r="D25" s="111" t="s">
        <v>407</v>
      </c>
      <c r="E25" s="121">
        <f>F25+I25</f>
        <v>0</v>
      </c>
      <c r="F25" s="122"/>
      <c r="G25" s="121"/>
      <c r="H25" s="121"/>
      <c r="I25" s="122"/>
      <c r="J25" s="16">
        <f t="shared" si="0"/>
        <v>2847460</v>
      </c>
      <c r="K25" s="121">
        <v>2847460</v>
      </c>
      <c r="L25" s="121"/>
      <c r="M25" s="121"/>
      <c r="N25" s="123"/>
      <c r="O25" s="121">
        <f>K25</f>
        <v>2847460</v>
      </c>
      <c r="P25" s="124">
        <f>E25+J25</f>
        <v>2847460</v>
      </c>
      <c r="Q25" s="129"/>
      <c r="R25" s="129"/>
    </row>
    <row r="26" spans="1:18" s="6" customFormat="1" ht="25.5" x14ac:dyDescent="0.2">
      <c r="A26" s="1" t="s">
        <v>108</v>
      </c>
      <c r="B26" s="14"/>
      <c r="C26" s="14"/>
      <c r="D26" s="21" t="s">
        <v>34</v>
      </c>
      <c r="E26" s="23">
        <f>F26+I26</f>
        <v>709730490</v>
      </c>
      <c r="F26" s="23">
        <f t="shared" ref="F26:O26" si="3">F27</f>
        <v>709730490</v>
      </c>
      <c r="G26" s="23">
        <f t="shared" si="3"/>
        <v>352129600</v>
      </c>
      <c r="H26" s="23">
        <f t="shared" si="3"/>
        <v>49942700</v>
      </c>
      <c r="I26" s="23">
        <f t="shared" si="3"/>
        <v>0</v>
      </c>
      <c r="J26" s="23">
        <f t="shared" si="0"/>
        <v>75351314</v>
      </c>
      <c r="K26" s="23">
        <f t="shared" si="3"/>
        <v>16604230</v>
      </c>
      <c r="L26" s="23">
        <f t="shared" si="3"/>
        <v>56661974</v>
      </c>
      <c r="M26" s="23">
        <f t="shared" si="3"/>
        <v>6171200</v>
      </c>
      <c r="N26" s="23">
        <f t="shared" si="3"/>
        <v>2348640</v>
      </c>
      <c r="O26" s="23">
        <f t="shared" si="3"/>
        <v>18689340</v>
      </c>
      <c r="P26" s="23">
        <f t="shared" si="1"/>
        <v>785081804</v>
      </c>
      <c r="Q26" s="75">
        <v>760021883</v>
      </c>
      <c r="R26" s="75">
        <f>P26-Q26</f>
        <v>25059921</v>
      </c>
    </row>
    <row r="27" spans="1:18" s="6" customFormat="1" ht="25.5" x14ac:dyDescent="0.2">
      <c r="A27" s="3" t="s">
        <v>205</v>
      </c>
      <c r="B27" s="14"/>
      <c r="C27" s="14"/>
      <c r="D27" s="21" t="s">
        <v>35</v>
      </c>
      <c r="E27" s="23">
        <f t="shared" si="2"/>
        <v>709730490</v>
      </c>
      <c r="F27" s="23">
        <f>SUM(F28:F37)+F39</f>
        <v>709730490</v>
      </c>
      <c r="G27" s="23">
        <f>SUM(G28:G37)+G39</f>
        <v>352129600</v>
      </c>
      <c r="H27" s="23">
        <f>SUM(H28:H37)+H39</f>
        <v>49942700</v>
      </c>
      <c r="I27" s="23">
        <f>SUM(I28:I37)+I39</f>
        <v>0</v>
      </c>
      <c r="J27" s="23">
        <f t="shared" si="0"/>
        <v>75351314</v>
      </c>
      <c r="K27" s="23">
        <f>K28+K29+K30+K31+K32+K33+K34+K35+K36+K37+K39</f>
        <v>16604230</v>
      </c>
      <c r="L27" s="23">
        <f>L28+L29+L30+L31+L32+L33+L34+L35+L36+L37+L39</f>
        <v>56661974</v>
      </c>
      <c r="M27" s="23">
        <f>M28+M29+M30+M31+M32+M33+M34+M35+M36+M37+M39</f>
        <v>6171200</v>
      </c>
      <c r="N27" s="23">
        <f>N28+N29+N30+N31+N32+N33+N34+N35+N36+N37+N39</f>
        <v>2348640</v>
      </c>
      <c r="O27" s="23">
        <f>O28+O29+O30+O31+O32+O33+O34+O35+O36+O37+O39</f>
        <v>18689340</v>
      </c>
      <c r="P27" s="23">
        <f>E27+J27</f>
        <v>785081804</v>
      </c>
      <c r="Q27" s="75">
        <v>701274799</v>
      </c>
      <c r="R27" s="75">
        <f>E26-Q27</f>
        <v>8455691</v>
      </c>
    </row>
    <row r="28" spans="1:18" ht="59.45" customHeight="1" x14ac:dyDescent="0.2">
      <c r="A28" s="2" t="s">
        <v>109</v>
      </c>
      <c r="B28" s="5" t="s">
        <v>17</v>
      </c>
      <c r="C28" s="5" t="s">
        <v>19</v>
      </c>
      <c r="D28" s="42" t="s">
        <v>18</v>
      </c>
      <c r="E28" s="41">
        <f t="shared" si="2"/>
        <v>58209268</v>
      </c>
      <c r="F28" s="74">
        <f>57564500+644768</f>
        <v>58209268</v>
      </c>
      <c r="G28" s="25">
        <v>31150000</v>
      </c>
      <c r="H28" s="25">
        <v>6020000</v>
      </c>
      <c r="I28" s="12"/>
      <c r="J28" s="16">
        <f t="shared" si="0"/>
        <v>403987</v>
      </c>
      <c r="K28" s="16"/>
      <c r="L28" s="25">
        <v>371787</v>
      </c>
      <c r="M28" s="25">
        <v>58088</v>
      </c>
      <c r="N28" s="25">
        <v>1500</v>
      </c>
      <c r="O28" s="16">
        <f>K28+32200</f>
        <v>32200</v>
      </c>
      <c r="P28" s="23">
        <f t="shared" si="1"/>
        <v>58613255</v>
      </c>
      <c r="Q28" s="84">
        <v>58747084</v>
      </c>
      <c r="R28" s="84">
        <f>J26-Q28</f>
        <v>16604230</v>
      </c>
    </row>
    <row r="29" spans="1:18" s="72" customFormat="1" ht="59.45" customHeight="1" x14ac:dyDescent="0.2">
      <c r="A29" s="2" t="s">
        <v>110</v>
      </c>
      <c r="B29" s="5" t="s">
        <v>20</v>
      </c>
      <c r="C29" s="5" t="s">
        <v>21</v>
      </c>
      <c r="D29" s="71" t="s">
        <v>339</v>
      </c>
      <c r="E29" s="16">
        <f t="shared" si="2"/>
        <v>17488051</v>
      </c>
      <c r="F29" s="74">
        <f>17199700+108351+180000</f>
        <v>17488051</v>
      </c>
      <c r="G29" s="25">
        <v>8708000</v>
      </c>
      <c r="H29" s="25">
        <v>1141900</v>
      </c>
      <c r="I29" s="12"/>
      <c r="J29" s="16">
        <f t="shared" si="0"/>
        <v>127700</v>
      </c>
      <c r="K29" s="76">
        <f>42000+14600+16100</f>
        <v>72700</v>
      </c>
      <c r="L29" s="25">
        <v>55000</v>
      </c>
      <c r="M29" s="25"/>
      <c r="N29" s="25">
        <v>6000</v>
      </c>
      <c r="O29" s="16">
        <f>K29</f>
        <v>72700</v>
      </c>
      <c r="P29" s="23">
        <f t="shared" si="1"/>
        <v>17615751</v>
      </c>
      <c r="Q29" s="91"/>
      <c r="R29" s="91"/>
    </row>
    <row r="30" spans="1:18" ht="89.45" customHeight="1" x14ac:dyDescent="0.2">
      <c r="A30" s="2" t="s">
        <v>111</v>
      </c>
      <c r="B30" s="5" t="s">
        <v>22</v>
      </c>
      <c r="C30" s="5" t="s">
        <v>19</v>
      </c>
      <c r="D30" s="19" t="s">
        <v>23</v>
      </c>
      <c r="E30" s="16">
        <f t="shared" si="2"/>
        <v>144544831</v>
      </c>
      <c r="F30" s="74">
        <f>143336100+1208731</f>
        <v>144544831</v>
      </c>
      <c r="G30" s="25">
        <v>90966300</v>
      </c>
      <c r="H30" s="25">
        <v>7877000</v>
      </c>
      <c r="I30" s="12"/>
      <c r="J30" s="16">
        <f t="shared" si="0"/>
        <v>1509756</v>
      </c>
      <c r="K30" s="76">
        <f>35000+500000+510000+273413+73000</f>
        <v>1391413</v>
      </c>
      <c r="L30" s="25">
        <v>118343</v>
      </c>
      <c r="M30" s="25">
        <v>2500</v>
      </c>
      <c r="N30" s="25"/>
      <c r="O30" s="16">
        <f>K30</f>
        <v>1391413</v>
      </c>
      <c r="P30" s="23">
        <f t="shared" si="1"/>
        <v>146054587</v>
      </c>
    </row>
    <row r="31" spans="1:18" ht="126" customHeight="1" x14ac:dyDescent="0.2">
      <c r="A31" s="2" t="s">
        <v>112</v>
      </c>
      <c r="B31" s="5" t="s">
        <v>24</v>
      </c>
      <c r="C31" s="5" t="s">
        <v>19</v>
      </c>
      <c r="D31" s="19" t="s">
        <v>105</v>
      </c>
      <c r="E31" s="16">
        <f t="shared" si="2"/>
        <v>90221350</v>
      </c>
      <c r="F31" s="74">
        <f>89501800+75999-298400+740551+24500+176900</f>
        <v>90221350</v>
      </c>
      <c r="G31" s="74">
        <f>43936400+145000</f>
        <v>44081400</v>
      </c>
      <c r="H31" s="16">
        <v>7865900</v>
      </c>
      <c r="I31" s="11"/>
      <c r="J31" s="16">
        <f t="shared" si="0"/>
        <v>8007064</v>
      </c>
      <c r="K31" s="76">
        <f>3259900+3500000+309700</f>
        <v>7069600</v>
      </c>
      <c r="L31" s="25">
        <v>689464</v>
      </c>
      <c r="M31" s="25"/>
      <c r="N31" s="16">
        <v>55000</v>
      </c>
      <c r="O31" s="16">
        <f>K31+248000</f>
        <v>7317600</v>
      </c>
      <c r="P31" s="23">
        <f t="shared" si="1"/>
        <v>98228414</v>
      </c>
    </row>
    <row r="32" spans="1:18" ht="38.25" x14ac:dyDescent="0.2">
      <c r="A32" s="2" t="s">
        <v>113</v>
      </c>
      <c r="B32" s="5" t="s">
        <v>25</v>
      </c>
      <c r="C32" s="5" t="s">
        <v>26</v>
      </c>
      <c r="D32" s="19" t="s">
        <v>27</v>
      </c>
      <c r="E32" s="16">
        <f t="shared" si="2"/>
        <v>39641000</v>
      </c>
      <c r="F32" s="74">
        <f>39524800+80000+36200</f>
        <v>39641000</v>
      </c>
      <c r="G32" s="25">
        <v>26457700</v>
      </c>
      <c r="H32" s="25">
        <v>4071500</v>
      </c>
      <c r="I32" s="12"/>
      <c r="J32" s="16">
        <f t="shared" si="0"/>
        <v>2624461</v>
      </c>
      <c r="K32" s="76">
        <f>220271+1000000+212200</f>
        <v>1432471</v>
      </c>
      <c r="L32" s="25">
        <v>1161990</v>
      </c>
      <c r="M32" s="25">
        <v>408000</v>
      </c>
      <c r="N32" s="25">
        <v>78200</v>
      </c>
      <c r="O32" s="16">
        <f>K32+30000</f>
        <v>1462471</v>
      </c>
      <c r="P32" s="23">
        <f t="shared" si="1"/>
        <v>42265461</v>
      </c>
    </row>
    <row r="33" spans="1:18" ht="25.5" x14ac:dyDescent="0.2">
      <c r="A33" s="2" t="s">
        <v>114</v>
      </c>
      <c r="B33" s="5" t="s">
        <v>100</v>
      </c>
      <c r="C33" s="5" t="s">
        <v>28</v>
      </c>
      <c r="D33" s="19" t="s">
        <v>101</v>
      </c>
      <c r="E33" s="16">
        <f t="shared" si="2"/>
        <v>216346240</v>
      </c>
      <c r="F33" s="74">
        <f>215127500+1201740+17000</f>
        <v>216346240</v>
      </c>
      <c r="G33" s="25">
        <v>130646800</v>
      </c>
      <c r="H33" s="25">
        <v>20778300</v>
      </c>
      <c r="I33" s="12"/>
      <c r="J33" s="16">
        <f t="shared" si="0"/>
        <v>29390676</v>
      </c>
      <c r="K33" s="76">
        <f>1341979+1442000+1461000+1859318+299849+137000</f>
        <v>6541146</v>
      </c>
      <c r="L33" s="25">
        <v>21152190</v>
      </c>
      <c r="M33" s="25">
        <v>5509658</v>
      </c>
      <c r="N33" s="25">
        <v>2192820</v>
      </c>
      <c r="O33" s="16">
        <f>K33+1697340</f>
        <v>8238486</v>
      </c>
      <c r="P33" s="23">
        <f t="shared" si="1"/>
        <v>245736916</v>
      </c>
    </row>
    <row r="34" spans="1:18" ht="46.15" customHeight="1" x14ac:dyDescent="0.2">
      <c r="A34" s="2" t="s">
        <v>115</v>
      </c>
      <c r="B34" s="5" t="s">
        <v>48</v>
      </c>
      <c r="C34" s="5" t="s">
        <v>49</v>
      </c>
      <c r="D34" s="61" t="s">
        <v>102</v>
      </c>
      <c r="E34" s="16">
        <f t="shared" si="2"/>
        <v>37866000</v>
      </c>
      <c r="F34" s="25">
        <v>37866000</v>
      </c>
      <c r="G34" s="25"/>
      <c r="H34" s="25"/>
      <c r="I34" s="12"/>
      <c r="J34" s="16">
        <f t="shared" si="0"/>
        <v>3316085</v>
      </c>
      <c r="K34" s="16"/>
      <c r="L34" s="25">
        <v>3266085</v>
      </c>
      <c r="M34" s="25"/>
      <c r="N34" s="25"/>
      <c r="O34" s="16">
        <f>K34+50000</f>
        <v>50000</v>
      </c>
      <c r="P34" s="23">
        <f t="shared" si="1"/>
        <v>41182085</v>
      </c>
    </row>
    <row r="35" spans="1:18" ht="55.9" customHeight="1" x14ac:dyDescent="0.2">
      <c r="A35" s="2" t="s">
        <v>116</v>
      </c>
      <c r="B35" s="5" t="s">
        <v>29</v>
      </c>
      <c r="C35" s="5" t="s">
        <v>30</v>
      </c>
      <c r="D35" s="19" t="s">
        <v>106</v>
      </c>
      <c r="E35" s="16">
        <f t="shared" si="2"/>
        <v>68829600</v>
      </c>
      <c r="F35" s="74">
        <f>65734100+3095500</f>
        <v>68829600</v>
      </c>
      <c r="G35" s="25"/>
      <c r="H35" s="25"/>
      <c r="I35" s="12"/>
      <c r="J35" s="16">
        <f t="shared" si="0"/>
        <v>29459000</v>
      </c>
      <c r="K35" s="16"/>
      <c r="L35" s="25">
        <v>29459000</v>
      </c>
      <c r="M35" s="25"/>
      <c r="N35" s="25"/>
      <c r="O35" s="16">
        <f>K35</f>
        <v>0</v>
      </c>
      <c r="P35" s="23">
        <f t="shared" si="1"/>
        <v>98288600</v>
      </c>
    </row>
    <row r="36" spans="1:18" ht="32.450000000000003" customHeight="1" x14ac:dyDescent="0.2">
      <c r="A36" s="2" t="s">
        <v>117</v>
      </c>
      <c r="B36" s="5" t="s">
        <v>31</v>
      </c>
      <c r="C36" s="5" t="s">
        <v>32</v>
      </c>
      <c r="D36" s="20" t="s">
        <v>107</v>
      </c>
      <c r="E36" s="16">
        <f t="shared" si="2"/>
        <v>21045850</v>
      </c>
      <c r="F36" s="74">
        <f>20200400+755500+4950+85000</f>
        <v>21045850</v>
      </c>
      <c r="G36" s="25">
        <f>14565700+619200</f>
        <v>15184900</v>
      </c>
      <c r="H36" s="25">
        <v>953400</v>
      </c>
      <c r="I36" s="12"/>
      <c r="J36" s="16">
        <f t="shared" si="0"/>
        <v>405185</v>
      </c>
      <c r="K36" s="76"/>
      <c r="L36" s="25">
        <v>377615</v>
      </c>
      <c r="M36" s="25">
        <v>192954</v>
      </c>
      <c r="N36" s="25">
        <v>15120</v>
      </c>
      <c r="O36" s="16">
        <f>K36+27570</f>
        <v>27570</v>
      </c>
      <c r="P36" s="23">
        <f t="shared" si="1"/>
        <v>21451035</v>
      </c>
    </row>
    <row r="37" spans="1:18" ht="36" customHeight="1" x14ac:dyDescent="0.2">
      <c r="A37" s="2" t="s">
        <v>118</v>
      </c>
      <c r="B37" s="5" t="s">
        <v>103</v>
      </c>
      <c r="C37" s="5"/>
      <c r="D37" s="20" t="s">
        <v>104</v>
      </c>
      <c r="E37" s="16">
        <f t="shared" si="2"/>
        <v>13909400</v>
      </c>
      <c r="F37" s="25">
        <f>F38</f>
        <v>13909400</v>
      </c>
      <c r="G37" s="25">
        <f>G38</f>
        <v>4934500</v>
      </c>
      <c r="H37" s="25">
        <f>H38</f>
        <v>1234700</v>
      </c>
      <c r="I37" s="25">
        <f>I38</f>
        <v>0</v>
      </c>
      <c r="J37" s="16">
        <f t="shared" si="0"/>
        <v>107400</v>
      </c>
      <c r="K37" s="25">
        <f>K38</f>
        <v>96900</v>
      </c>
      <c r="L37" s="25">
        <f>L38</f>
        <v>10500</v>
      </c>
      <c r="M37" s="25">
        <f>M38</f>
        <v>0</v>
      </c>
      <c r="N37" s="25">
        <f>N38</f>
        <v>0</v>
      </c>
      <c r="O37" s="25">
        <f>O38</f>
        <v>96900</v>
      </c>
      <c r="P37" s="23">
        <f t="shared" si="1"/>
        <v>14016800</v>
      </c>
    </row>
    <row r="38" spans="1:18" ht="36" customHeight="1" x14ac:dyDescent="0.2">
      <c r="A38" s="2" t="s">
        <v>295</v>
      </c>
      <c r="B38" s="5">
        <v>1161</v>
      </c>
      <c r="C38" s="5" t="s">
        <v>296</v>
      </c>
      <c r="D38" s="20" t="s">
        <v>297</v>
      </c>
      <c r="E38" s="16">
        <f t="shared" si="2"/>
        <v>13909400</v>
      </c>
      <c r="F38" s="74">
        <f>8113800+2735300+2964300+96000</f>
        <v>13909400</v>
      </c>
      <c r="G38" s="25">
        <v>4934500</v>
      </c>
      <c r="H38" s="25">
        <v>1234700</v>
      </c>
      <c r="I38" s="25"/>
      <c r="J38" s="16">
        <f t="shared" si="0"/>
        <v>107400</v>
      </c>
      <c r="K38" s="16">
        <f>20000+20000+56900</f>
        <v>96900</v>
      </c>
      <c r="L38" s="25">
        <v>10500</v>
      </c>
      <c r="M38" s="25"/>
      <c r="N38" s="25"/>
      <c r="O38" s="16">
        <f>K38</f>
        <v>96900</v>
      </c>
      <c r="P38" s="23">
        <f t="shared" si="1"/>
        <v>14016800</v>
      </c>
    </row>
    <row r="39" spans="1:18" x14ac:dyDescent="0.2">
      <c r="A39" s="2" t="s">
        <v>119</v>
      </c>
      <c r="B39" s="5" t="s">
        <v>80</v>
      </c>
      <c r="C39" s="5"/>
      <c r="D39" s="19" t="s">
        <v>82</v>
      </c>
      <c r="E39" s="16">
        <f t="shared" si="2"/>
        <v>1628900</v>
      </c>
      <c r="F39" s="25">
        <f>F40+F41</f>
        <v>1628900</v>
      </c>
      <c r="G39" s="25">
        <f>G40+G41</f>
        <v>0</v>
      </c>
      <c r="H39" s="25">
        <f>H40+H41</f>
        <v>0</v>
      </c>
      <c r="I39" s="25">
        <f>I40+I41</f>
        <v>0</v>
      </c>
      <c r="J39" s="16">
        <f t="shared" si="0"/>
        <v>0</v>
      </c>
      <c r="K39" s="25">
        <f>K40+K41</f>
        <v>0</v>
      </c>
      <c r="L39" s="25">
        <f>L40+L41</f>
        <v>0</v>
      </c>
      <c r="M39" s="25">
        <f>M40+M41</f>
        <v>0</v>
      </c>
      <c r="N39" s="25">
        <f>N40+N41</f>
        <v>0</v>
      </c>
      <c r="O39" s="25">
        <f>O40+O41</f>
        <v>0</v>
      </c>
      <c r="P39" s="23">
        <f t="shared" si="1"/>
        <v>1628900</v>
      </c>
    </row>
    <row r="40" spans="1:18" ht="38.25" x14ac:dyDescent="0.2">
      <c r="A40" s="2" t="s">
        <v>298</v>
      </c>
      <c r="B40" s="5" t="s">
        <v>274</v>
      </c>
      <c r="C40" s="5" t="s">
        <v>275</v>
      </c>
      <c r="D40" s="20" t="s">
        <v>276</v>
      </c>
      <c r="E40" s="16">
        <f t="shared" si="2"/>
        <v>1390600</v>
      </c>
      <c r="F40" s="25">
        <v>1390600</v>
      </c>
      <c r="G40" s="25"/>
      <c r="H40" s="25"/>
      <c r="I40" s="25"/>
      <c r="J40" s="16">
        <f t="shared" si="0"/>
        <v>0</v>
      </c>
      <c r="K40" s="16"/>
      <c r="L40" s="25"/>
      <c r="M40" s="25"/>
      <c r="N40" s="25"/>
      <c r="O40" s="16">
        <f>K40</f>
        <v>0</v>
      </c>
      <c r="P40" s="23">
        <f t="shared" si="1"/>
        <v>1390600</v>
      </c>
    </row>
    <row r="41" spans="1:18" ht="38.25" x14ac:dyDescent="0.2">
      <c r="A41" s="2" t="s">
        <v>299</v>
      </c>
      <c r="B41" s="5" t="s">
        <v>277</v>
      </c>
      <c r="C41" s="5" t="s">
        <v>275</v>
      </c>
      <c r="D41" s="20" t="s">
        <v>278</v>
      </c>
      <c r="E41" s="16">
        <f t="shared" si="2"/>
        <v>238300</v>
      </c>
      <c r="F41" s="25">
        <v>238300</v>
      </c>
      <c r="G41" s="25"/>
      <c r="H41" s="25"/>
      <c r="I41" s="25"/>
      <c r="J41" s="16">
        <f t="shared" si="0"/>
        <v>0</v>
      </c>
      <c r="K41" s="16"/>
      <c r="L41" s="25"/>
      <c r="M41" s="25"/>
      <c r="N41" s="25"/>
      <c r="O41" s="16">
        <f>K41</f>
        <v>0</v>
      </c>
      <c r="P41" s="23">
        <f t="shared" si="1"/>
        <v>238300</v>
      </c>
    </row>
    <row r="42" spans="1:18" s="6" customFormat="1" ht="25.5" x14ac:dyDescent="0.2">
      <c r="A42" s="3" t="s">
        <v>161</v>
      </c>
      <c r="B42" s="14"/>
      <c r="C42" s="14"/>
      <c r="D42" s="8" t="s">
        <v>43</v>
      </c>
      <c r="E42" s="23">
        <f t="shared" si="2"/>
        <v>1132225348</v>
      </c>
      <c r="F42" s="23">
        <f>F43</f>
        <v>1132225348</v>
      </c>
      <c r="G42" s="23">
        <f>G43</f>
        <v>0</v>
      </c>
      <c r="H42" s="23">
        <f>H43</f>
        <v>0</v>
      </c>
      <c r="I42" s="23">
        <f>I43</f>
        <v>0</v>
      </c>
      <c r="J42" s="23">
        <f t="shared" si="0"/>
        <v>180744734</v>
      </c>
      <c r="K42" s="23">
        <f>K43</f>
        <v>138039934</v>
      </c>
      <c r="L42" s="23">
        <f>L43</f>
        <v>30831100</v>
      </c>
      <c r="M42" s="23">
        <f>M43</f>
        <v>0</v>
      </c>
      <c r="N42" s="23">
        <f>N43</f>
        <v>0</v>
      </c>
      <c r="O42" s="23">
        <f>O43</f>
        <v>149913634</v>
      </c>
      <c r="P42" s="23">
        <f t="shared" si="1"/>
        <v>1312970082</v>
      </c>
      <c r="Q42" s="75">
        <v>1140928200</v>
      </c>
      <c r="R42" s="75">
        <f>P42-Q42</f>
        <v>172041882</v>
      </c>
    </row>
    <row r="43" spans="1:18" s="6" customFormat="1" ht="30.6" customHeight="1" x14ac:dyDescent="0.2">
      <c r="A43" s="3" t="s">
        <v>162</v>
      </c>
      <c r="B43" s="14"/>
      <c r="C43" s="14"/>
      <c r="D43" s="8" t="s">
        <v>40</v>
      </c>
      <c r="E43" s="23">
        <f t="shared" si="2"/>
        <v>1132225348</v>
      </c>
      <c r="F43" s="23">
        <f>SUM(F44:F54)+F55+F58+F60+F62</f>
        <v>1132225348</v>
      </c>
      <c r="G43" s="23">
        <f>SUM(G44:G54)+G55+G58+G60+G62</f>
        <v>0</v>
      </c>
      <c r="H43" s="23">
        <f>SUM(H44:H54)+H55+H58+H60+H62</f>
        <v>0</v>
      </c>
      <c r="I43" s="23">
        <f>SUM(I44:I54)+I55+I58+I60+I62</f>
        <v>0</v>
      </c>
      <c r="J43" s="23">
        <f t="shared" si="0"/>
        <v>180744734</v>
      </c>
      <c r="K43" s="23">
        <f>SUM(K44:K54)+K55+K58+K60+K62</f>
        <v>138039934</v>
      </c>
      <c r="L43" s="23">
        <f>SUM(L44:L54)+L55+L58+L60+L62</f>
        <v>30831100</v>
      </c>
      <c r="M43" s="23">
        <f>SUM(M44:M54)+M55+M58+M60+M62</f>
        <v>0</v>
      </c>
      <c r="N43" s="23">
        <f>SUM(N44:N54)+N55+N58+N60+N62</f>
        <v>0</v>
      </c>
      <c r="O43" s="23">
        <f>SUM(O44:O54)+O55+O58+O60+O62</f>
        <v>149913634</v>
      </c>
      <c r="P43" s="23">
        <f t="shared" si="1"/>
        <v>1312970082</v>
      </c>
      <c r="Q43" s="75">
        <v>1098068600</v>
      </c>
      <c r="R43" s="75">
        <f>E42-Q43</f>
        <v>34156748</v>
      </c>
    </row>
    <row r="44" spans="1:18" ht="43.9" customHeight="1" x14ac:dyDescent="0.2">
      <c r="A44" s="5" t="s">
        <v>163</v>
      </c>
      <c r="B44" s="5" t="s">
        <v>48</v>
      </c>
      <c r="C44" s="5" t="s">
        <v>49</v>
      </c>
      <c r="D44" s="20" t="s">
        <v>142</v>
      </c>
      <c r="E44" s="16">
        <f t="shared" ref="E44:E76" si="4">F44+I44</f>
        <v>51885000</v>
      </c>
      <c r="F44" s="25">
        <v>51885000</v>
      </c>
      <c r="G44" s="25"/>
      <c r="H44" s="23"/>
      <c r="I44" s="10"/>
      <c r="J44" s="16">
        <f t="shared" si="0"/>
        <v>19979800</v>
      </c>
      <c r="K44" s="16"/>
      <c r="L44" s="25">
        <v>19859800</v>
      </c>
      <c r="M44" s="25"/>
      <c r="N44" s="25"/>
      <c r="O44" s="16">
        <f>K44+120000</f>
        <v>120000</v>
      </c>
      <c r="P44" s="23">
        <f t="shared" si="1"/>
        <v>71864800</v>
      </c>
      <c r="Q44" s="84">
        <v>42859600</v>
      </c>
      <c r="R44" s="84">
        <f>J42-Q44</f>
        <v>137885134</v>
      </c>
    </row>
    <row r="45" spans="1:18" ht="25.5" x14ac:dyDescent="0.2">
      <c r="A45" s="5" t="s">
        <v>164</v>
      </c>
      <c r="B45" s="5" t="s">
        <v>50</v>
      </c>
      <c r="C45" s="5" t="s">
        <v>51</v>
      </c>
      <c r="D45" s="19" t="s">
        <v>7</v>
      </c>
      <c r="E45" s="16">
        <f t="shared" si="4"/>
        <v>223120400</v>
      </c>
      <c r="F45" s="74">
        <f>219170400+200000+250000+3500000</f>
        <v>223120400</v>
      </c>
      <c r="G45" s="25"/>
      <c r="H45" s="16"/>
      <c r="I45" s="11"/>
      <c r="J45" s="16">
        <f t="shared" si="0"/>
        <v>12777500</v>
      </c>
      <c r="K45" s="76">
        <f>5300000+5193500+5000000-5300000</f>
        <v>10193500</v>
      </c>
      <c r="L45" s="25">
        <v>2584000</v>
      </c>
      <c r="M45" s="25"/>
      <c r="N45" s="16"/>
      <c r="O45" s="16">
        <f>K45</f>
        <v>10193500</v>
      </c>
      <c r="P45" s="23">
        <f t="shared" si="1"/>
        <v>235897900</v>
      </c>
    </row>
    <row r="46" spans="1:18" ht="31.9" customHeight="1" x14ac:dyDescent="0.2">
      <c r="A46" s="5" t="s">
        <v>170</v>
      </c>
      <c r="B46" s="5" t="s">
        <v>171</v>
      </c>
      <c r="C46" s="5" t="s">
        <v>52</v>
      </c>
      <c r="D46" s="19" t="s">
        <v>8</v>
      </c>
      <c r="E46" s="16">
        <f t="shared" si="4"/>
        <v>413032914</v>
      </c>
      <c r="F46" s="74">
        <f>408302600+497764+1700000+100000+22500+226050+227000+2967700+543600+200000+35000+230000+100000+242500+1628100-3989900</f>
        <v>413032914</v>
      </c>
      <c r="G46" s="25"/>
      <c r="H46" s="16"/>
      <c r="I46" s="11"/>
      <c r="J46" s="16">
        <f t="shared" si="0"/>
        <v>47410167</v>
      </c>
      <c r="K46" s="76">
        <f>45816+540310+35700+84030+286500+260000+267200+60000+80520+52000+26000+656900+463368+3257000+196533+467090+1000000+3000000+1000000+10000000+11538000+11538500+500</f>
        <v>44855967</v>
      </c>
      <c r="L46" s="25">
        <v>2444200</v>
      </c>
      <c r="M46" s="25"/>
      <c r="N46" s="16"/>
      <c r="O46" s="16">
        <f>K46+110000</f>
        <v>44965967</v>
      </c>
      <c r="P46" s="23">
        <f t="shared" si="1"/>
        <v>460443081</v>
      </c>
    </row>
    <row r="47" spans="1:18" ht="27.6" customHeight="1" x14ac:dyDescent="0.2">
      <c r="A47" s="5" t="s">
        <v>173</v>
      </c>
      <c r="B47" s="5" t="s">
        <v>174</v>
      </c>
      <c r="C47" s="5" t="s">
        <v>54</v>
      </c>
      <c r="D47" s="19" t="s">
        <v>172</v>
      </c>
      <c r="E47" s="16">
        <f t="shared" si="4"/>
        <v>37244200</v>
      </c>
      <c r="F47" s="74">
        <f>39188300+174000+80000-3865000+1666900</f>
        <v>37244200</v>
      </c>
      <c r="G47" s="25"/>
      <c r="H47" s="25"/>
      <c r="I47" s="12"/>
      <c r="J47" s="16">
        <f t="shared" si="0"/>
        <v>6800</v>
      </c>
      <c r="K47" s="16"/>
      <c r="L47" s="25">
        <v>6800</v>
      </c>
      <c r="M47" s="25"/>
      <c r="N47" s="25"/>
      <c r="O47" s="16">
        <f>K47</f>
        <v>0</v>
      </c>
      <c r="P47" s="23">
        <f t="shared" si="1"/>
        <v>37251000</v>
      </c>
    </row>
    <row r="48" spans="1:18" ht="38.25" x14ac:dyDescent="0.2">
      <c r="A48" s="5" t="s">
        <v>175</v>
      </c>
      <c r="B48" s="5" t="s">
        <v>176</v>
      </c>
      <c r="C48" s="5" t="s">
        <v>57</v>
      </c>
      <c r="D48" s="19" t="s">
        <v>66</v>
      </c>
      <c r="E48" s="16">
        <f t="shared" si="4"/>
        <v>20216950</v>
      </c>
      <c r="F48" s="74">
        <f>19836700+35250+345000</f>
        <v>20216950</v>
      </c>
      <c r="G48" s="25"/>
      <c r="H48" s="25"/>
      <c r="I48" s="12"/>
      <c r="J48" s="16">
        <f t="shared" si="0"/>
        <v>20000</v>
      </c>
      <c r="K48" s="76">
        <f>20000</f>
        <v>20000</v>
      </c>
      <c r="L48" s="25"/>
      <c r="M48" s="25"/>
      <c r="N48" s="25"/>
      <c r="O48" s="16">
        <f>K48</f>
        <v>20000</v>
      </c>
      <c r="P48" s="23">
        <f t="shared" si="1"/>
        <v>20236950</v>
      </c>
    </row>
    <row r="49" spans="1:26" x14ac:dyDescent="0.2">
      <c r="A49" s="5" t="s">
        <v>165</v>
      </c>
      <c r="B49" s="5" t="s">
        <v>53</v>
      </c>
      <c r="C49" s="5" t="s">
        <v>59</v>
      </c>
      <c r="D49" s="19" t="s">
        <v>9</v>
      </c>
      <c r="E49" s="16">
        <f t="shared" si="4"/>
        <v>19502200</v>
      </c>
      <c r="F49" s="25">
        <v>19502200</v>
      </c>
      <c r="G49" s="25"/>
      <c r="H49" s="25"/>
      <c r="I49" s="12"/>
      <c r="J49" s="16">
        <f t="shared" si="0"/>
        <v>100000</v>
      </c>
      <c r="K49" s="16"/>
      <c r="L49" s="25">
        <v>60000</v>
      </c>
      <c r="M49" s="25"/>
      <c r="N49" s="25"/>
      <c r="O49" s="16">
        <f>K49+40000</f>
        <v>40000</v>
      </c>
      <c r="P49" s="23">
        <f t="shared" si="1"/>
        <v>19602200</v>
      </c>
    </row>
    <row r="50" spans="1:26" ht="25.5" x14ac:dyDescent="0.2">
      <c r="A50" s="5" t="s">
        <v>166</v>
      </c>
      <c r="B50" s="15" t="s">
        <v>55</v>
      </c>
      <c r="C50" s="15" t="s">
        <v>60</v>
      </c>
      <c r="D50" s="9" t="s">
        <v>177</v>
      </c>
      <c r="E50" s="16">
        <f t="shared" si="4"/>
        <v>202571200</v>
      </c>
      <c r="F50" s="74">
        <f>202421200+150000</f>
        <v>202571200</v>
      </c>
      <c r="G50" s="25"/>
      <c r="H50" s="16"/>
      <c r="I50" s="11"/>
      <c r="J50" s="16">
        <f t="shared" ref="J50:J117" si="5">L50+O50</f>
        <v>2750000</v>
      </c>
      <c r="K50" s="76">
        <f>2600000+100000</f>
        <v>2700000</v>
      </c>
      <c r="L50" s="25">
        <v>50000</v>
      </c>
      <c r="M50" s="25"/>
      <c r="N50" s="23"/>
      <c r="O50" s="16">
        <f>K50</f>
        <v>2700000</v>
      </c>
      <c r="P50" s="23">
        <f t="shared" si="1"/>
        <v>205321200</v>
      </c>
    </row>
    <row r="51" spans="1:26" ht="25.5" x14ac:dyDescent="0.2">
      <c r="A51" s="5" t="s">
        <v>167</v>
      </c>
      <c r="B51" s="5" t="s">
        <v>56</v>
      </c>
      <c r="C51" s="5" t="s">
        <v>62</v>
      </c>
      <c r="D51" s="19" t="s">
        <v>178</v>
      </c>
      <c r="E51" s="16">
        <f t="shared" si="4"/>
        <v>20719000</v>
      </c>
      <c r="F51" s="74">
        <f>16639100+30000+60000+3989900</f>
        <v>20719000</v>
      </c>
      <c r="G51" s="25"/>
      <c r="H51" s="16"/>
      <c r="I51" s="11"/>
      <c r="J51" s="16">
        <f t="shared" si="5"/>
        <v>336300</v>
      </c>
      <c r="K51" s="76">
        <f>40000</f>
        <v>40000</v>
      </c>
      <c r="L51" s="25">
        <v>276300</v>
      </c>
      <c r="M51" s="25"/>
      <c r="N51" s="25"/>
      <c r="O51" s="16">
        <f>K51+20000</f>
        <v>60000</v>
      </c>
      <c r="P51" s="23">
        <f t="shared" si="1"/>
        <v>21055300</v>
      </c>
    </row>
    <row r="52" spans="1:26" x14ac:dyDescent="0.2">
      <c r="A52" s="5" t="s">
        <v>168</v>
      </c>
      <c r="B52" s="5" t="s">
        <v>58</v>
      </c>
      <c r="C52" s="5" t="s">
        <v>62</v>
      </c>
      <c r="D52" s="19" t="s">
        <v>179</v>
      </c>
      <c r="E52" s="16">
        <f t="shared" si="4"/>
        <v>11114700</v>
      </c>
      <c r="F52" s="63">
        <v>11114700</v>
      </c>
      <c r="G52" s="25"/>
      <c r="H52" s="16"/>
      <c r="I52" s="11"/>
      <c r="J52" s="16">
        <f t="shared" si="5"/>
        <v>5587500</v>
      </c>
      <c r="K52" s="16"/>
      <c r="L52" s="25">
        <v>5387500</v>
      </c>
      <c r="M52" s="25"/>
      <c r="N52" s="16"/>
      <c r="O52" s="16">
        <f>K52+200000</f>
        <v>200000</v>
      </c>
      <c r="P52" s="23">
        <f t="shared" si="1"/>
        <v>16702200</v>
      </c>
    </row>
    <row r="53" spans="1:26" ht="38.25" x14ac:dyDescent="0.2">
      <c r="A53" s="5" t="s">
        <v>181</v>
      </c>
      <c r="B53" s="5" t="s">
        <v>182</v>
      </c>
      <c r="C53" s="5" t="s">
        <v>63</v>
      </c>
      <c r="D53" s="19" t="s">
        <v>180</v>
      </c>
      <c r="E53" s="16">
        <f t="shared" si="4"/>
        <v>1972400</v>
      </c>
      <c r="F53" s="74">
        <f>1902400+70000</f>
        <v>1972400</v>
      </c>
      <c r="G53" s="25"/>
      <c r="H53" s="16"/>
      <c r="I53" s="11"/>
      <c r="J53" s="16">
        <f t="shared" si="5"/>
        <v>0</v>
      </c>
      <c r="K53" s="16"/>
      <c r="L53" s="25"/>
      <c r="M53" s="25"/>
      <c r="N53" s="23"/>
      <c r="O53" s="16">
        <f>K53</f>
        <v>0</v>
      </c>
      <c r="P53" s="23">
        <f t="shared" si="1"/>
        <v>1972400</v>
      </c>
    </row>
    <row r="54" spans="1:26" ht="25.5" x14ac:dyDescent="0.2">
      <c r="A54" s="5" t="s">
        <v>169</v>
      </c>
      <c r="B54" s="5" t="s">
        <v>61</v>
      </c>
      <c r="C54" s="5" t="s">
        <v>64</v>
      </c>
      <c r="D54" s="26" t="s">
        <v>183</v>
      </c>
      <c r="E54" s="16">
        <f t="shared" si="4"/>
        <v>11139500</v>
      </c>
      <c r="F54" s="74">
        <f>10639500+500000</f>
        <v>11139500</v>
      </c>
      <c r="G54" s="25"/>
      <c r="H54" s="25"/>
      <c r="I54" s="12"/>
      <c r="J54" s="16">
        <f t="shared" si="5"/>
        <v>0</v>
      </c>
      <c r="K54" s="16"/>
      <c r="L54" s="25"/>
      <c r="M54" s="25"/>
      <c r="N54" s="25"/>
      <c r="O54" s="16">
        <f>K54</f>
        <v>0</v>
      </c>
      <c r="P54" s="23">
        <f t="shared" si="1"/>
        <v>11139500</v>
      </c>
    </row>
    <row r="55" spans="1:26" ht="25.5" x14ac:dyDescent="0.2">
      <c r="A55" s="5" t="s">
        <v>185</v>
      </c>
      <c r="B55" s="5">
        <v>2150</v>
      </c>
      <c r="C55" s="5"/>
      <c r="D55" s="26" t="s">
        <v>184</v>
      </c>
      <c r="E55" s="16">
        <f t="shared" si="4"/>
        <v>119706884</v>
      </c>
      <c r="F55" s="25">
        <f>F56+F57</f>
        <v>119706884</v>
      </c>
      <c r="G55" s="25">
        <f>G56+G57</f>
        <v>0</v>
      </c>
      <c r="H55" s="25">
        <f>H56+H57</f>
        <v>0</v>
      </c>
      <c r="I55" s="25">
        <f>I56+I57</f>
        <v>0</v>
      </c>
      <c r="J55" s="16">
        <f t="shared" si="5"/>
        <v>32610800</v>
      </c>
      <c r="K55" s="25">
        <f>K56+K57</f>
        <v>32448300</v>
      </c>
      <c r="L55" s="25">
        <f>L56+L57</f>
        <v>162500</v>
      </c>
      <c r="M55" s="25">
        <f>M56+M57</f>
        <v>0</v>
      </c>
      <c r="N55" s="25">
        <f>N56+N57</f>
        <v>0</v>
      </c>
      <c r="O55" s="25">
        <f>O56+O57</f>
        <v>32448300</v>
      </c>
      <c r="P55" s="23">
        <f t="shared" si="1"/>
        <v>152317684</v>
      </c>
    </row>
    <row r="56" spans="1:26" ht="36" customHeight="1" x14ac:dyDescent="0.2">
      <c r="A56" s="5" t="s">
        <v>250</v>
      </c>
      <c r="B56" s="5" t="s">
        <v>251</v>
      </c>
      <c r="C56" s="5" t="s">
        <v>64</v>
      </c>
      <c r="D56" s="19" t="s">
        <v>252</v>
      </c>
      <c r="E56" s="16">
        <f t="shared" si="4"/>
        <v>43298600</v>
      </c>
      <c r="F56" s="25">
        <v>43298600</v>
      </c>
      <c r="G56" s="25"/>
      <c r="H56" s="25"/>
      <c r="I56" s="25"/>
      <c r="J56" s="16">
        <f t="shared" si="5"/>
        <v>1310800</v>
      </c>
      <c r="K56" s="76">
        <f>753300+162000+210000+23000</f>
        <v>1148300</v>
      </c>
      <c r="L56" s="25">
        <v>162500</v>
      </c>
      <c r="M56" s="25"/>
      <c r="N56" s="25"/>
      <c r="O56" s="16">
        <f>K56</f>
        <v>1148300</v>
      </c>
      <c r="P56" s="23">
        <f t="shared" si="1"/>
        <v>44609400</v>
      </c>
    </row>
    <row r="57" spans="1:26" ht="36" customHeight="1" x14ac:dyDescent="0.2">
      <c r="A57" s="5" t="s">
        <v>253</v>
      </c>
      <c r="B57" s="5" t="s">
        <v>254</v>
      </c>
      <c r="C57" s="5" t="s">
        <v>64</v>
      </c>
      <c r="D57" s="19" t="s">
        <v>255</v>
      </c>
      <c r="E57" s="16">
        <f t="shared" si="4"/>
        <v>76408284</v>
      </c>
      <c r="F57" s="74">
        <f>54167900+15900000+12719800-6379416</f>
        <v>76408284</v>
      </c>
      <c r="G57" s="25"/>
      <c r="H57" s="25"/>
      <c r="I57" s="25"/>
      <c r="J57" s="16">
        <f t="shared" si="5"/>
        <v>31300000</v>
      </c>
      <c r="K57" s="76">
        <f>11538500+5000000+5000000+16000000+5300000-11538500</f>
        <v>31300000</v>
      </c>
      <c r="L57" s="25"/>
      <c r="M57" s="25"/>
      <c r="N57" s="25"/>
      <c r="O57" s="16">
        <f>K57</f>
        <v>31300000</v>
      </c>
      <c r="P57" s="23">
        <f t="shared" si="1"/>
        <v>107708284</v>
      </c>
    </row>
    <row r="58" spans="1:26" ht="27.6" customHeight="1" x14ac:dyDescent="0.2">
      <c r="A58" s="5" t="s">
        <v>231</v>
      </c>
      <c r="B58" s="15" t="s">
        <v>226</v>
      </c>
      <c r="C58" s="15"/>
      <c r="D58" s="54" t="s">
        <v>227</v>
      </c>
      <c r="E58" s="16">
        <f t="shared" si="4"/>
        <v>0</v>
      </c>
      <c r="F58" s="25">
        <f>F59</f>
        <v>0</v>
      </c>
      <c r="G58" s="25">
        <f>G59</f>
        <v>0</v>
      </c>
      <c r="H58" s="25">
        <f>H59</f>
        <v>0</v>
      </c>
      <c r="I58" s="25">
        <f>I59</f>
        <v>0</v>
      </c>
      <c r="J58" s="16">
        <f t="shared" si="5"/>
        <v>47532511</v>
      </c>
      <c r="K58" s="25">
        <f>K59</f>
        <v>47532511</v>
      </c>
      <c r="L58" s="25">
        <f>L59</f>
        <v>0</v>
      </c>
      <c r="M58" s="25">
        <f>M59</f>
        <v>0</v>
      </c>
      <c r="N58" s="25">
        <f>N59</f>
        <v>0</v>
      </c>
      <c r="O58" s="25">
        <f>O59</f>
        <v>47532511</v>
      </c>
      <c r="P58" s="23">
        <f t="shared" si="1"/>
        <v>47532511</v>
      </c>
    </row>
    <row r="59" spans="1:26" s="72" customFormat="1" ht="25.15" customHeight="1" x14ac:dyDescent="0.2">
      <c r="A59" s="88" t="s">
        <v>401</v>
      </c>
      <c r="B59" s="126" t="s">
        <v>402</v>
      </c>
      <c r="C59" s="126" t="s">
        <v>403</v>
      </c>
      <c r="D59" s="111" t="s">
        <v>404</v>
      </c>
      <c r="E59" s="76">
        <f t="shared" si="4"/>
        <v>0</v>
      </c>
      <c r="F59" s="74"/>
      <c r="G59" s="74"/>
      <c r="H59" s="74"/>
      <c r="I59" s="95"/>
      <c r="J59" s="97">
        <f t="shared" si="5"/>
        <v>47532511</v>
      </c>
      <c r="K59" s="74">
        <f>44000000+720000+1212511+1600000</f>
        <v>47532511</v>
      </c>
      <c r="L59" s="74"/>
      <c r="M59" s="74"/>
      <c r="N59" s="74"/>
      <c r="O59" s="74">
        <f>K59</f>
        <v>47532511</v>
      </c>
      <c r="P59" s="81">
        <f t="shared" si="1"/>
        <v>47532511</v>
      </c>
      <c r="Q59" s="90"/>
      <c r="R59" s="90"/>
      <c r="S59" s="90"/>
      <c r="T59" s="91"/>
      <c r="U59" s="92"/>
      <c r="V59" s="92"/>
      <c r="X59" s="92"/>
      <c r="Y59" s="93"/>
      <c r="Z59" s="94"/>
    </row>
    <row r="60" spans="1:26" ht="17.45" customHeight="1" x14ac:dyDescent="0.2">
      <c r="A60" s="5" t="s">
        <v>225</v>
      </c>
      <c r="B60" s="15" t="s">
        <v>223</v>
      </c>
      <c r="C60" s="15"/>
      <c r="D60" s="53" t="s">
        <v>224</v>
      </c>
      <c r="E60" s="16">
        <f t="shared" si="4"/>
        <v>0</v>
      </c>
      <c r="F60" s="25">
        <f>F61</f>
        <v>0</v>
      </c>
      <c r="G60" s="25">
        <f>G61</f>
        <v>0</v>
      </c>
      <c r="H60" s="25">
        <f>H61</f>
        <v>0</v>
      </c>
      <c r="I60" s="25">
        <f>I61</f>
        <v>0</v>
      </c>
      <c r="J60" s="16">
        <f t="shared" si="5"/>
        <v>249656</v>
      </c>
      <c r="K60" s="25">
        <f>K61</f>
        <v>249656</v>
      </c>
      <c r="L60" s="25">
        <f>L61</f>
        <v>0</v>
      </c>
      <c r="M60" s="25">
        <f>M61</f>
        <v>0</v>
      </c>
      <c r="N60" s="25">
        <f>N61</f>
        <v>0</v>
      </c>
      <c r="O60" s="25">
        <f>O61</f>
        <v>249656</v>
      </c>
      <c r="P60" s="23">
        <f>E60+J60</f>
        <v>249656</v>
      </c>
    </row>
    <row r="61" spans="1:26" s="72" customFormat="1" ht="63.6" customHeight="1" x14ac:dyDescent="0.2">
      <c r="A61" s="88" t="s">
        <v>391</v>
      </c>
      <c r="B61" s="126">
        <v>7363</v>
      </c>
      <c r="C61" s="126" t="s">
        <v>220</v>
      </c>
      <c r="D61" s="127" t="s">
        <v>392</v>
      </c>
      <c r="E61" s="76">
        <f t="shared" si="4"/>
        <v>0</v>
      </c>
      <c r="F61" s="74"/>
      <c r="G61" s="74"/>
      <c r="H61" s="74"/>
      <c r="I61" s="74"/>
      <c r="J61" s="76">
        <f t="shared" si="5"/>
        <v>249656</v>
      </c>
      <c r="K61" s="76">
        <f>249656</f>
        <v>249656</v>
      </c>
      <c r="L61" s="74"/>
      <c r="M61" s="74"/>
      <c r="N61" s="74"/>
      <c r="O61" s="76">
        <f>K61</f>
        <v>249656</v>
      </c>
      <c r="P61" s="81">
        <f>E61+J61</f>
        <v>249656</v>
      </c>
      <c r="Q61" s="91"/>
      <c r="R61" s="91"/>
    </row>
    <row r="62" spans="1:26" ht="38.25" x14ac:dyDescent="0.2">
      <c r="A62" s="5" t="s">
        <v>145</v>
      </c>
      <c r="B62" s="5" t="s">
        <v>143</v>
      </c>
      <c r="C62" s="5" t="s">
        <v>16</v>
      </c>
      <c r="D62" s="36" t="s">
        <v>144</v>
      </c>
      <c r="E62" s="16">
        <f t="shared" si="4"/>
        <v>0</v>
      </c>
      <c r="F62" s="37"/>
      <c r="G62" s="37"/>
      <c r="H62" s="37"/>
      <c r="I62" s="38"/>
      <c r="J62" s="37">
        <f t="shared" si="5"/>
        <v>11383700</v>
      </c>
      <c r="K62" s="96"/>
      <c r="L62" s="37"/>
      <c r="M62" s="37"/>
      <c r="N62" s="37"/>
      <c r="O62" s="76">
        <f>K62+11383700</f>
        <v>11383700</v>
      </c>
      <c r="P62" s="23">
        <f t="shared" si="1"/>
        <v>11383700</v>
      </c>
    </row>
    <row r="63" spans="1:26" s="6" customFormat="1" ht="25.5" x14ac:dyDescent="0.2">
      <c r="A63" s="3" t="s">
        <v>11</v>
      </c>
      <c r="B63" s="14"/>
      <c r="C63" s="14"/>
      <c r="D63" s="7" t="s">
        <v>44</v>
      </c>
      <c r="E63" s="23">
        <f t="shared" si="4"/>
        <v>211411435</v>
      </c>
      <c r="F63" s="23">
        <f>F64</f>
        <v>211411435</v>
      </c>
      <c r="G63" s="23">
        <f>G64</f>
        <v>79024600</v>
      </c>
      <c r="H63" s="23">
        <f>H64</f>
        <v>17220300</v>
      </c>
      <c r="I63" s="23">
        <f>I64</f>
        <v>0</v>
      </c>
      <c r="J63" s="23">
        <f t="shared" si="5"/>
        <v>47427763</v>
      </c>
      <c r="K63" s="23">
        <f>K64</f>
        <v>9975963</v>
      </c>
      <c r="L63" s="23">
        <f>L64</f>
        <v>35982800</v>
      </c>
      <c r="M63" s="23">
        <f>M64</f>
        <v>0</v>
      </c>
      <c r="N63" s="23">
        <f>N64</f>
        <v>44000</v>
      </c>
      <c r="O63" s="23">
        <f>O64</f>
        <v>11444963</v>
      </c>
      <c r="P63" s="23">
        <f t="shared" si="1"/>
        <v>258839198</v>
      </c>
      <c r="Q63" s="75">
        <v>244010800</v>
      </c>
      <c r="R63" s="75">
        <f>P63-Q63</f>
        <v>14828398</v>
      </c>
    </row>
    <row r="64" spans="1:26" s="6" customFormat="1" ht="38.25" x14ac:dyDescent="0.2">
      <c r="A64" s="3" t="s">
        <v>12</v>
      </c>
      <c r="B64" s="14"/>
      <c r="C64" s="14"/>
      <c r="D64" s="7" t="s">
        <v>41</v>
      </c>
      <c r="E64" s="23">
        <f t="shared" si="4"/>
        <v>211411435</v>
      </c>
      <c r="F64" s="23">
        <f>F65+F66+F70+F71+F72+F75</f>
        <v>211411435</v>
      </c>
      <c r="G64" s="23">
        <f>G65+G66+G70+G71+G72+G75</f>
        <v>79024600</v>
      </c>
      <c r="H64" s="23">
        <f>H65+H66+H70+H71+H72+H75</f>
        <v>17220300</v>
      </c>
      <c r="I64" s="23">
        <f>I65+I66+I70+I71+I72+I75</f>
        <v>0</v>
      </c>
      <c r="J64" s="23">
        <f t="shared" si="5"/>
        <v>47427763</v>
      </c>
      <c r="K64" s="23">
        <f>K65+K66+K70+K71+K72+K75</f>
        <v>9975963</v>
      </c>
      <c r="L64" s="23">
        <f>L65+L66+L70+L71+L72+L75</f>
        <v>35982800</v>
      </c>
      <c r="M64" s="23">
        <f>M65+M66+M70+M71+M72+M75</f>
        <v>0</v>
      </c>
      <c r="N64" s="23">
        <f>N65+N66+N70+N71+N72+N75</f>
        <v>44000</v>
      </c>
      <c r="O64" s="23">
        <f>O65+O66+O70+O71+O72+O75</f>
        <v>11444963</v>
      </c>
      <c r="P64" s="23">
        <f t="shared" si="1"/>
        <v>258839198</v>
      </c>
      <c r="Q64" s="75">
        <v>206559000</v>
      </c>
      <c r="R64" s="75">
        <f>E63-Q64</f>
        <v>4852435</v>
      </c>
    </row>
    <row r="65" spans="1:26" ht="46.15" customHeight="1" x14ac:dyDescent="0.2">
      <c r="A65" s="5" t="s">
        <v>269</v>
      </c>
      <c r="B65" s="15" t="s">
        <v>237</v>
      </c>
      <c r="C65" s="15" t="s">
        <v>17</v>
      </c>
      <c r="D65" s="53" t="s">
        <v>238</v>
      </c>
      <c r="E65" s="16">
        <f t="shared" si="4"/>
        <v>56955000</v>
      </c>
      <c r="F65" s="16">
        <v>56955000</v>
      </c>
      <c r="G65" s="16"/>
      <c r="H65" s="16"/>
      <c r="I65" s="16"/>
      <c r="J65" s="16">
        <f t="shared" si="5"/>
        <v>0</v>
      </c>
      <c r="K65" s="16"/>
      <c r="L65" s="16"/>
      <c r="M65" s="16"/>
      <c r="N65" s="16"/>
      <c r="O65" s="16">
        <f>K65</f>
        <v>0</v>
      </c>
      <c r="P65" s="23">
        <f t="shared" si="1"/>
        <v>56955000</v>
      </c>
      <c r="Q65" s="84">
        <v>37451800</v>
      </c>
      <c r="R65" s="84">
        <f>J63-Q65</f>
        <v>9975963</v>
      </c>
    </row>
    <row r="66" spans="1:26" ht="79.900000000000006" customHeight="1" x14ac:dyDescent="0.2">
      <c r="A66" s="5" t="s">
        <v>317</v>
      </c>
      <c r="B66" s="5" t="s">
        <v>318</v>
      </c>
      <c r="C66" s="5"/>
      <c r="D66" s="20" t="s">
        <v>319</v>
      </c>
      <c r="E66" s="16">
        <f t="shared" si="4"/>
        <v>131844435</v>
      </c>
      <c r="F66" s="16">
        <f>F67+F68</f>
        <v>131844435</v>
      </c>
      <c r="G66" s="16">
        <f>G67+G68</f>
        <v>75901600</v>
      </c>
      <c r="H66" s="16">
        <f>H67+H68</f>
        <v>17009800</v>
      </c>
      <c r="I66" s="16">
        <f>I67+I68</f>
        <v>0</v>
      </c>
      <c r="J66" s="16">
        <f t="shared" si="5"/>
        <v>47427763</v>
      </c>
      <c r="K66" s="16">
        <f>K67+K68</f>
        <v>9975963</v>
      </c>
      <c r="L66" s="16">
        <f>L67+L68</f>
        <v>35982800</v>
      </c>
      <c r="M66" s="16">
        <f>M67+M68</f>
        <v>0</v>
      </c>
      <c r="N66" s="16">
        <f>N67+N68</f>
        <v>44000</v>
      </c>
      <c r="O66" s="16">
        <f>O67+O68</f>
        <v>11444963</v>
      </c>
      <c r="P66" s="23">
        <f t="shared" si="1"/>
        <v>179272198</v>
      </c>
    </row>
    <row r="67" spans="1:26" ht="69.599999999999994" customHeight="1" x14ac:dyDescent="0.2">
      <c r="A67" s="5" t="s">
        <v>257</v>
      </c>
      <c r="B67" s="5">
        <v>3101</v>
      </c>
      <c r="C67" s="5" t="s">
        <v>258</v>
      </c>
      <c r="D67" s="20" t="s">
        <v>259</v>
      </c>
      <c r="E67" s="16">
        <f t="shared" si="4"/>
        <v>8144900</v>
      </c>
      <c r="F67" s="16">
        <v>8144900</v>
      </c>
      <c r="G67" s="16">
        <v>4807200</v>
      </c>
      <c r="H67" s="16">
        <v>1374700</v>
      </c>
      <c r="I67" s="16"/>
      <c r="J67" s="16">
        <f t="shared" si="5"/>
        <v>1448900</v>
      </c>
      <c r="K67" s="76">
        <f>12000</f>
        <v>12000</v>
      </c>
      <c r="L67" s="16">
        <v>1376900</v>
      </c>
      <c r="M67" s="16"/>
      <c r="N67" s="16"/>
      <c r="O67" s="16">
        <f>K67+60000</f>
        <v>72000</v>
      </c>
      <c r="P67" s="23">
        <f t="shared" si="1"/>
        <v>9593800</v>
      </c>
    </row>
    <row r="68" spans="1:26" ht="107.45" customHeight="1" x14ac:dyDescent="0.2">
      <c r="A68" s="5" t="s">
        <v>260</v>
      </c>
      <c r="B68" s="5">
        <v>3102</v>
      </c>
      <c r="C68" s="5" t="s">
        <v>261</v>
      </c>
      <c r="D68" s="20" t="s">
        <v>262</v>
      </c>
      <c r="E68" s="16">
        <f t="shared" si="4"/>
        <v>123699535</v>
      </c>
      <c r="F68" s="76">
        <f>123347100+352435</f>
        <v>123699535</v>
      </c>
      <c r="G68" s="16">
        <v>71094400</v>
      </c>
      <c r="H68" s="16">
        <v>15635100</v>
      </c>
      <c r="I68" s="16"/>
      <c r="J68" s="16">
        <f t="shared" si="5"/>
        <v>45978863</v>
      </c>
      <c r="K68" s="76">
        <f>9433203+579460-48700</f>
        <v>9963963</v>
      </c>
      <c r="L68" s="16">
        <v>34605900</v>
      </c>
      <c r="M68" s="16"/>
      <c r="N68" s="16">
        <v>44000</v>
      </c>
      <c r="O68" s="16">
        <f>K68+1409000</f>
        <v>11372963</v>
      </c>
      <c r="P68" s="23">
        <f t="shared" si="1"/>
        <v>169678398</v>
      </c>
    </row>
    <row r="69" spans="1:26" ht="28.15" hidden="1" customHeight="1" x14ac:dyDescent="0.2">
      <c r="A69" s="5" t="s">
        <v>157</v>
      </c>
      <c r="B69" s="5" t="s">
        <v>154</v>
      </c>
      <c r="C69" s="5"/>
      <c r="D69" s="20" t="s">
        <v>83</v>
      </c>
      <c r="E69" s="16">
        <f t="shared" si="4"/>
        <v>0</v>
      </c>
      <c r="F69" s="25"/>
      <c r="G69" s="25"/>
      <c r="H69" s="25"/>
      <c r="I69" s="25"/>
      <c r="J69" s="16">
        <f t="shared" si="5"/>
        <v>0</v>
      </c>
      <c r="K69" s="16"/>
      <c r="L69" s="25"/>
      <c r="M69" s="25"/>
      <c r="N69" s="25"/>
      <c r="O69" s="16">
        <f>K69</f>
        <v>0</v>
      </c>
      <c r="P69" s="23">
        <f t="shared" si="1"/>
        <v>0</v>
      </c>
    </row>
    <row r="70" spans="1:26" ht="81.599999999999994" customHeight="1" x14ac:dyDescent="0.2">
      <c r="A70" s="5" t="s">
        <v>321</v>
      </c>
      <c r="B70" s="5" t="s">
        <v>74</v>
      </c>
      <c r="C70" s="5" t="s">
        <v>17</v>
      </c>
      <c r="D70" s="19" t="s">
        <v>33</v>
      </c>
      <c r="E70" s="16">
        <f>F70+I70</f>
        <v>5369500</v>
      </c>
      <c r="F70" s="25">
        <v>5369500</v>
      </c>
      <c r="G70" s="25"/>
      <c r="H70" s="25"/>
      <c r="I70" s="12"/>
      <c r="J70" s="16">
        <f>L70+O70</f>
        <v>0</v>
      </c>
      <c r="K70" s="16"/>
      <c r="L70" s="25"/>
      <c r="M70" s="25"/>
      <c r="N70" s="25"/>
      <c r="O70" s="16">
        <f>K70</f>
        <v>0</v>
      </c>
      <c r="P70" s="60">
        <f>E70+J70</f>
        <v>5369500</v>
      </c>
    </row>
    <row r="71" spans="1:26" ht="38.25" x14ac:dyDescent="0.2">
      <c r="A71" s="5" t="s">
        <v>203</v>
      </c>
      <c r="B71" s="5" t="s">
        <v>204</v>
      </c>
      <c r="C71" s="5" t="s">
        <v>25</v>
      </c>
      <c r="D71" s="20" t="s">
        <v>155</v>
      </c>
      <c r="E71" s="16">
        <f>F71+I71</f>
        <v>3628500</v>
      </c>
      <c r="F71" s="25">
        <v>3628500</v>
      </c>
      <c r="G71" s="25">
        <v>2537300</v>
      </c>
      <c r="H71" s="25">
        <v>182700</v>
      </c>
      <c r="I71" s="12"/>
      <c r="J71" s="16">
        <f>K71+N71</f>
        <v>0</v>
      </c>
      <c r="K71" s="25"/>
      <c r="L71" s="25"/>
      <c r="M71" s="25"/>
      <c r="N71" s="25"/>
      <c r="O71" s="16">
        <f>K71</f>
        <v>0</v>
      </c>
      <c r="P71" s="23">
        <f>E71+J71</f>
        <v>3628500</v>
      </c>
    </row>
    <row r="72" spans="1:26" x14ac:dyDescent="0.2">
      <c r="A72" s="5" t="s">
        <v>320</v>
      </c>
      <c r="B72" s="5">
        <v>3240</v>
      </c>
      <c r="C72" s="5"/>
      <c r="D72" s="20" t="s">
        <v>156</v>
      </c>
      <c r="E72" s="16">
        <f>F72+I72</f>
        <v>13214000</v>
      </c>
      <c r="F72" s="25">
        <f>F73+F74</f>
        <v>13214000</v>
      </c>
      <c r="G72" s="25">
        <f>G73+G74</f>
        <v>585700</v>
      </c>
      <c r="H72" s="25">
        <f>H73+H74</f>
        <v>27800</v>
      </c>
      <c r="I72" s="25">
        <f>I73+I74</f>
        <v>0</v>
      </c>
      <c r="J72" s="16">
        <f>K72+N72</f>
        <v>0</v>
      </c>
      <c r="K72" s="25">
        <f>K73+K74</f>
        <v>0</v>
      </c>
      <c r="L72" s="25">
        <f>L73+L74</f>
        <v>0</v>
      </c>
      <c r="M72" s="25">
        <f>M73+M74</f>
        <v>0</v>
      </c>
      <c r="N72" s="25">
        <f>N73+N74</f>
        <v>0</v>
      </c>
      <c r="O72" s="25">
        <f>O73+O74</f>
        <v>0</v>
      </c>
      <c r="P72" s="23">
        <f>E72+J72</f>
        <v>13214000</v>
      </c>
    </row>
    <row r="73" spans="1:26" ht="52.9" customHeight="1" x14ac:dyDescent="0.2">
      <c r="A73" s="5" t="s">
        <v>263</v>
      </c>
      <c r="B73" s="5" t="s">
        <v>264</v>
      </c>
      <c r="C73" s="5" t="s">
        <v>25</v>
      </c>
      <c r="D73" s="20" t="s">
        <v>265</v>
      </c>
      <c r="E73" s="16">
        <f t="shared" si="4"/>
        <v>767000</v>
      </c>
      <c r="F73" s="25">
        <v>767000</v>
      </c>
      <c r="G73" s="25">
        <v>585700</v>
      </c>
      <c r="H73" s="25">
        <v>27800</v>
      </c>
      <c r="I73" s="25"/>
      <c r="J73" s="16">
        <f t="shared" si="5"/>
        <v>0</v>
      </c>
      <c r="K73" s="16"/>
      <c r="L73" s="25"/>
      <c r="M73" s="25"/>
      <c r="N73" s="25"/>
      <c r="O73" s="16">
        <f>K73</f>
        <v>0</v>
      </c>
      <c r="P73" s="23">
        <f t="shared" si="1"/>
        <v>767000</v>
      </c>
    </row>
    <row r="74" spans="1:26" ht="39" customHeight="1" x14ac:dyDescent="0.2">
      <c r="A74" s="5" t="s">
        <v>266</v>
      </c>
      <c r="B74" s="5" t="s">
        <v>267</v>
      </c>
      <c r="C74" s="5" t="s">
        <v>25</v>
      </c>
      <c r="D74" s="20" t="s">
        <v>268</v>
      </c>
      <c r="E74" s="16">
        <f t="shared" si="4"/>
        <v>12447000</v>
      </c>
      <c r="F74" s="74">
        <f>8347000+4100000</f>
        <v>12447000</v>
      </c>
      <c r="G74" s="25"/>
      <c r="H74" s="25"/>
      <c r="I74" s="25"/>
      <c r="J74" s="16">
        <f t="shared" si="5"/>
        <v>0</v>
      </c>
      <c r="K74" s="16"/>
      <c r="L74" s="25"/>
      <c r="M74" s="25"/>
      <c r="N74" s="25"/>
      <c r="O74" s="16">
        <f>K74</f>
        <v>0</v>
      </c>
      <c r="P74" s="23">
        <f t="shared" si="1"/>
        <v>12447000</v>
      </c>
    </row>
    <row r="75" spans="1:26" s="72" customFormat="1" ht="27" customHeight="1" x14ac:dyDescent="0.2">
      <c r="A75" s="88" t="s">
        <v>157</v>
      </c>
      <c r="B75" s="88" t="s">
        <v>154</v>
      </c>
      <c r="C75" s="88"/>
      <c r="D75" s="89" t="s">
        <v>83</v>
      </c>
      <c r="E75" s="76">
        <f t="shared" si="4"/>
        <v>400000</v>
      </c>
      <c r="F75" s="74">
        <f>F76</f>
        <v>400000</v>
      </c>
      <c r="G75" s="74">
        <f>G76</f>
        <v>0</v>
      </c>
      <c r="H75" s="74">
        <f>H76</f>
        <v>0</v>
      </c>
      <c r="I75" s="74">
        <f>I76</f>
        <v>0</v>
      </c>
      <c r="J75" s="76">
        <f>K75+N75</f>
        <v>0</v>
      </c>
      <c r="K75" s="74">
        <f>K76</f>
        <v>0</v>
      </c>
      <c r="L75" s="74">
        <f>L76</f>
        <v>0</v>
      </c>
      <c r="M75" s="74">
        <f>M76</f>
        <v>0</v>
      </c>
      <c r="N75" s="74">
        <f>N76</f>
        <v>0</v>
      </c>
      <c r="O75" s="74">
        <f>O76</f>
        <v>0</v>
      </c>
      <c r="P75" s="81">
        <f t="shared" si="1"/>
        <v>400000</v>
      </c>
      <c r="Q75" s="90"/>
      <c r="R75" s="90">
        <f>P75-Q75</f>
        <v>400000</v>
      </c>
      <c r="S75" s="90"/>
      <c r="T75" s="91"/>
      <c r="U75" s="92">
        <f>P75-T75</f>
        <v>400000</v>
      </c>
      <c r="V75" s="92"/>
      <c r="X75" s="92"/>
      <c r="Y75" s="93"/>
      <c r="Z75" s="94"/>
    </row>
    <row r="76" spans="1:26" s="72" customFormat="1" ht="56.45" customHeight="1" x14ac:dyDescent="0.2">
      <c r="A76" s="88" t="s">
        <v>351</v>
      </c>
      <c r="B76" s="88" t="s">
        <v>352</v>
      </c>
      <c r="C76" s="88" t="s">
        <v>353</v>
      </c>
      <c r="D76" s="89" t="s">
        <v>354</v>
      </c>
      <c r="E76" s="76">
        <f t="shared" si="4"/>
        <v>400000</v>
      </c>
      <c r="F76" s="74">
        <v>400000</v>
      </c>
      <c r="G76" s="74"/>
      <c r="H76" s="74"/>
      <c r="I76" s="95"/>
      <c r="J76" s="76">
        <f>K76+N76</f>
        <v>0</v>
      </c>
      <c r="K76" s="74"/>
      <c r="L76" s="74"/>
      <c r="M76" s="74"/>
      <c r="N76" s="74">
        <f>O76</f>
        <v>0</v>
      </c>
      <c r="O76" s="76"/>
      <c r="P76" s="81">
        <f t="shared" si="1"/>
        <v>400000</v>
      </c>
      <c r="Q76" s="90"/>
      <c r="R76" s="90">
        <f>P76-Q76</f>
        <v>400000</v>
      </c>
      <c r="S76" s="90"/>
      <c r="T76" s="91"/>
      <c r="U76" s="92">
        <f>P76-T76</f>
        <v>400000</v>
      </c>
      <c r="V76" s="92"/>
      <c r="X76" s="92"/>
      <c r="Y76" s="93"/>
      <c r="Z76" s="94"/>
    </row>
    <row r="77" spans="1:26" s="6" customFormat="1" ht="25.5" x14ac:dyDescent="0.2">
      <c r="A77" s="3" t="s">
        <v>158</v>
      </c>
      <c r="B77" s="3"/>
      <c r="C77" s="3"/>
      <c r="D77" s="22" t="s">
        <v>45</v>
      </c>
      <c r="E77" s="23">
        <f t="shared" ref="E77:E115" si="6">F77+I77</f>
        <v>7575300</v>
      </c>
      <c r="F77" s="23">
        <f t="shared" ref="F77:I78" si="7">F78</f>
        <v>7575300</v>
      </c>
      <c r="G77" s="23">
        <f t="shared" si="7"/>
        <v>3620300</v>
      </c>
      <c r="H77" s="23">
        <f t="shared" si="7"/>
        <v>755900</v>
      </c>
      <c r="I77" s="23">
        <f t="shared" si="7"/>
        <v>0</v>
      </c>
      <c r="J77" s="23">
        <f t="shared" si="5"/>
        <v>50000</v>
      </c>
      <c r="K77" s="23">
        <f t="shared" ref="K77:O78" si="8">K78</f>
        <v>0</v>
      </c>
      <c r="L77" s="23">
        <f t="shared" si="8"/>
        <v>50000</v>
      </c>
      <c r="M77" s="23">
        <f t="shared" si="8"/>
        <v>0</v>
      </c>
      <c r="N77" s="23">
        <f t="shared" si="8"/>
        <v>0</v>
      </c>
      <c r="O77" s="23">
        <f t="shared" si="8"/>
        <v>0</v>
      </c>
      <c r="P77" s="23">
        <f t="shared" ref="P77:P117" si="9">E77+J77</f>
        <v>7625300</v>
      </c>
      <c r="Q77" s="75">
        <v>7467900</v>
      </c>
      <c r="R77" s="75">
        <f>P77-Q77</f>
        <v>157400</v>
      </c>
    </row>
    <row r="78" spans="1:26" ht="25.5" x14ac:dyDescent="0.2">
      <c r="A78" s="3" t="s">
        <v>159</v>
      </c>
      <c r="B78" s="3"/>
      <c r="C78" s="3"/>
      <c r="D78" s="22" t="s">
        <v>42</v>
      </c>
      <c r="E78" s="23">
        <f t="shared" si="6"/>
        <v>7575300</v>
      </c>
      <c r="F78" s="23">
        <f t="shared" si="7"/>
        <v>7575300</v>
      </c>
      <c r="G78" s="23">
        <f t="shared" si="7"/>
        <v>3620300</v>
      </c>
      <c r="H78" s="23">
        <f t="shared" si="7"/>
        <v>755900</v>
      </c>
      <c r="I78" s="23">
        <f t="shared" si="7"/>
        <v>0</v>
      </c>
      <c r="J78" s="23">
        <f t="shared" si="5"/>
        <v>50000</v>
      </c>
      <c r="K78" s="23">
        <f t="shared" si="8"/>
        <v>0</v>
      </c>
      <c r="L78" s="23">
        <f t="shared" si="8"/>
        <v>50000</v>
      </c>
      <c r="M78" s="23">
        <f t="shared" si="8"/>
        <v>0</v>
      </c>
      <c r="N78" s="23">
        <f t="shared" si="8"/>
        <v>0</v>
      </c>
      <c r="O78" s="23">
        <f t="shared" si="8"/>
        <v>0</v>
      </c>
      <c r="P78" s="23">
        <f t="shared" si="9"/>
        <v>7625300</v>
      </c>
      <c r="Q78" s="84">
        <v>7417900</v>
      </c>
      <c r="R78" s="84">
        <f>E77-Q78</f>
        <v>157400</v>
      </c>
    </row>
    <row r="79" spans="1:26" s="29" customFormat="1" ht="25.5" x14ac:dyDescent="0.2">
      <c r="A79" s="5" t="s">
        <v>160</v>
      </c>
      <c r="B79" s="5" t="s">
        <v>84</v>
      </c>
      <c r="C79" s="5"/>
      <c r="D79" s="20" t="s">
        <v>85</v>
      </c>
      <c r="E79" s="16">
        <f t="shared" si="6"/>
        <v>7575300</v>
      </c>
      <c r="F79" s="16">
        <f>F80+F81</f>
        <v>7575300</v>
      </c>
      <c r="G79" s="16">
        <f>G80+G81</f>
        <v>3620300</v>
      </c>
      <c r="H79" s="16">
        <f>H80+H81</f>
        <v>755900</v>
      </c>
      <c r="I79" s="16">
        <f>I80+I81</f>
        <v>0</v>
      </c>
      <c r="J79" s="16">
        <f t="shared" si="5"/>
        <v>50000</v>
      </c>
      <c r="K79" s="16">
        <f>K80+K81</f>
        <v>0</v>
      </c>
      <c r="L79" s="16">
        <f>L80+L81</f>
        <v>50000</v>
      </c>
      <c r="M79" s="16">
        <f>M80+M81</f>
        <v>0</v>
      </c>
      <c r="N79" s="16">
        <f>N80+N81</f>
        <v>0</v>
      </c>
      <c r="O79" s="16">
        <f>O80+O81</f>
        <v>0</v>
      </c>
      <c r="P79" s="23">
        <f t="shared" si="9"/>
        <v>7625300</v>
      </c>
      <c r="Q79" s="87">
        <v>50000</v>
      </c>
      <c r="R79" s="87">
        <f>J77-Q79</f>
        <v>0</v>
      </c>
    </row>
    <row r="80" spans="1:26" s="72" customFormat="1" ht="73.900000000000006" customHeight="1" x14ac:dyDescent="0.2">
      <c r="A80" s="5" t="s">
        <v>302</v>
      </c>
      <c r="B80" s="5" t="s">
        <v>270</v>
      </c>
      <c r="C80" s="5" t="s">
        <v>17</v>
      </c>
      <c r="D80" s="20" t="s">
        <v>340</v>
      </c>
      <c r="E80" s="16">
        <f t="shared" si="6"/>
        <v>6834200</v>
      </c>
      <c r="F80" s="16">
        <v>6834200</v>
      </c>
      <c r="G80" s="16">
        <v>3620300</v>
      </c>
      <c r="H80" s="16">
        <v>755900</v>
      </c>
      <c r="I80" s="16"/>
      <c r="J80" s="16">
        <f t="shared" si="5"/>
        <v>50000</v>
      </c>
      <c r="K80" s="16"/>
      <c r="L80" s="16">
        <v>50000</v>
      </c>
      <c r="M80" s="16"/>
      <c r="N80" s="16"/>
      <c r="O80" s="16">
        <f>K80</f>
        <v>0</v>
      </c>
      <c r="P80" s="23">
        <f t="shared" si="9"/>
        <v>6884200</v>
      </c>
      <c r="Q80" s="91"/>
      <c r="R80" s="91"/>
    </row>
    <row r="81" spans="1:18" ht="25.5" x14ac:dyDescent="0.2">
      <c r="A81" s="5" t="s">
        <v>303</v>
      </c>
      <c r="B81" s="5" t="s">
        <v>304</v>
      </c>
      <c r="C81" s="5" t="s">
        <v>17</v>
      </c>
      <c r="D81" s="20" t="s">
        <v>305</v>
      </c>
      <c r="E81" s="16">
        <f t="shared" si="6"/>
        <v>741100</v>
      </c>
      <c r="F81" s="76">
        <f>583700+157400</f>
        <v>741100</v>
      </c>
      <c r="G81" s="16"/>
      <c r="H81" s="16"/>
      <c r="I81" s="16"/>
      <c r="J81" s="16">
        <f t="shared" si="5"/>
        <v>0</v>
      </c>
      <c r="K81" s="16"/>
      <c r="L81" s="16"/>
      <c r="M81" s="16"/>
      <c r="N81" s="16"/>
      <c r="O81" s="16">
        <f>K81</f>
        <v>0</v>
      </c>
      <c r="P81" s="23">
        <f t="shared" si="9"/>
        <v>741100</v>
      </c>
    </row>
    <row r="82" spans="1:18" s="6" customFormat="1" ht="38.25" x14ac:dyDescent="0.2">
      <c r="A82" s="3" t="s">
        <v>137</v>
      </c>
      <c r="B82" s="14"/>
      <c r="C82" s="14"/>
      <c r="D82" s="7" t="s">
        <v>67</v>
      </c>
      <c r="E82" s="23">
        <f t="shared" si="6"/>
        <v>135978500</v>
      </c>
      <c r="F82" s="23">
        <f>F83</f>
        <v>135978500</v>
      </c>
      <c r="G82" s="23">
        <f>G83</f>
        <v>26295203</v>
      </c>
      <c r="H82" s="23">
        <f>H83</f>
        <v>2850359</v>
      </c>
      <c r="I82" s="23">
        <f>I83</f>
        <v>0</v>
      </c>
      <c r="J82" s="23">
        <f t="shared" si="5"/>
        <v>15898158</v>
      </c>
      <c r="K82" s="23">
        <f>K83</f>
        <v>12271357</v>
      </c>
      <c r="L82" s="23">
        <f>L83</f>
        <v>3522401</v>
      </c>
      <c r="M82" s="23">
        <f>M83</f>
        <v>773780</v>
      </c>
      <c r="N82" s="23">
        <f>N83</f>
        <v>186352</v>
      </c>
      <c r="O82" s="23">
        <f>O83</f>
        <v>12375757</v>
      </c>
      <c r="P82" s="23">
        <f t="shared" si="9"/>
        <v>151876658</v>
      </c>
      <c r="Q82" s="75">
        <v>136327601</v>
      </c>
      <c r="R82" s="75">
        <f>P82-Q82</f>
        <v>15549057</v>
      </c>
    </row>
    <row r="83" spans="1:18" ht="38.25" x14ac:dyDescent="0.2">
      <c r="A83" s="3" t="s">
        <v>138</v>
      </c>
      <c r="B83" s="14"/>
      <c r="C83" s="14"/>
      <c r="D83" s="7" t="s">
        <v>68</v>
      </c>
      <c r="E83" s="23">
        <f t="shared" si="6"/>
        <v>135978500</v>
      </c>
      <c r="F83" s="23">
        <f>SUM(F84:F90)</f>
        <v>135978500</v>
      </c>
      <c r="G83" s="23">
        <f>SUM(G84:G90)</f>
        <v>26295203</v>
      </c>
      <c r="H83" s="23">
        <f>SUM(H84:H90)</f>
        <v>2850359</v>
      </c>
      <c r="I83" s="23">
        <f>SUM(I84:I90)</f>
        <v>0</v>
      </c>
      <c r="J83" s="23">
        <f t="shared" si="5"/>
        <v>15898158</v>
      </c>
      <c r="K83" s="23">
        <f>SUM(K84:K90)</f>
        <v>12271357</v>
      </c>
      <c r="L83" s="23">
        <f>SUM(L84:L90)</f>
        <v>3522401</v>
      </c>
      <c r="M83" s="23">
        <f>SUM(M84:M90)</f>
        <v>773780</v>
      </c>
      <c r="N83" s="23">
        <f>SUM(N84:N90)</f>
        <v>186352</v>
      </c>
      <c r="O83" s="23">
        <f>SUM(O84:O90)</f>
        <v>12375757</v>
      </c>
      <c r="P83" s="23">
        <f t="shared" si="9"/>
        <v>151876658</v>
      </c>
      <c r="Q83" s="84">
        <v>132700800</v>
      </c>
      <c r="R83" s="84">
        <f>E83-Q83</f>
        <v>3277700</v>
      </c>
    </row>
    <row r="84" spans="1:18" ht="46.15" customHeight="1" x14ac:dyDescent="0.2">
      <c r="A84" s="2">
        <v>1011120</v>
      </c>
      <c r="B84" s="5" t="s">
        <v>48</v>
      </c>
      <c r="C84" s="5" t="s">
        <v>49</v>
      </c>
      <c r="D84" s="20" t="s">
        <v>142</v>
      </c>
      <c r="E84" s="16">
        <f t="shared" si="6"/>
        <v>42473851</v>
      </c>
      <c r="F84" s="25">
        <v>42473851</v>
      </c>
      <c r="G84" s="25"/>
      <c r="H84" s="25"/>
      <c r="I84" s="12"/>
      <c r="J84" s="16">
        <f t="shared" si="5"/>
        <v>1855201</v>
      </c>
      <c r="K84" s="16"/>
      <c r="L84" s="25">
        <v>1855201</v>
      </c>
      <c r="M84" s="25"/>
      <c r="N84" s="25"/>
      <c r="O84" s="16">
        <f>K84</f>
        <v>0</v>
      </c>
      <c r="P84" s="23">
        <f t="shared" si="9"/>
        <v>44329052</v>
      </c>
      <c r="Q84" s="84">
        <v>3626801</v>
      </c>
      <c r="R84" s="84">
        <f>J82-Q84</f>
        <v>12271357</v>
      </c>
    </row>
    <row r="85" spans="1:18" x14ac:dyDescent="0.2">
      <c r="A85" s="2">
        <v>1014010</v>
      </c>
      <c r="B85" s="5" t="s">
        <v>133</v>
      </c>
      <c r="C85" s="5" t="s">
        <v>70</v>
      </c>
      <c r="D85" s="20" t="s">
        <v>132</v>
      </c>
      <c r="E85" s="16">
        <f t="shared" si="6"/>
        <v>26157690</v>
      </c>
      <c r="F85" s="74">
        <f>25145790+751900+260000</f>
        <v>26157690</v>
      </c>
      <c r="G85" s="25"/>
      <c r="H85" s="16"/>
      <c r="I85" s="11"/>
      <c r="J85" s="16">
        <f t="shared" si="5"/>
        <v>155100</v>
      </c>
      <c r="K85" s="76">
        <v>155100</v>
      </c>
      <c r="L85" s="25"/>
      <c r="M85" s="25"/>
      <c r="N85" s="16"/>
      <c r="O85" s="16">
        <f>K85</f>
        <v>155100</v>
      </c>
      <c r="P85" s="23">
        <f t="shared" si="9"/>
        <v>26312790</v>
      </c>
    </row>
    <row r="86" spans="1:18" ht="51" x14ac:dyDescent="0.2">
      <c r="A86" s="2">
        <v>1014020</v>
      </c>
      <c r="B86" s="5" t="s">
        <v>69</v>
      </c>
      <c r="C86" s="5" t="s">
        <v>71</v>
      </c>
      <c r="D86" s="20" t="s">
        <v>134</v>
      </c>
      <c r="E86" s="16">
        <f t="shared" si="6"/>
        <v>28103653</v>
      </c>
      <c r="F86" s="74">
        <f>27103653+1000000</f>
        <v>28103653</v>
      </c>
      <c r="G86" s="25"/>
      <c r="H86" s="16"/>
      <c r="I86" s="11"/>
      <c r="J86" s="16">
        <f t="shared" si="5"/>
        <v>1000000</v>
      </c>
      <c r="K86" s="76">
        <v>1000000</v>
      </c>
      <c r="L86" s="25"/>
      <c r="M86" s="25"/>
      <c r="N86" s="16"/>
      <c r="O86" s="16">
        <f>K86</f>
        <v>1000000</v>
      </c>
      <c r="P86" s="23">
        <f t="shared" si="9"/>
        <v>29103653</v>
      </c>
    </row>
    <row r="87" spans="1:18" x14ac:dyDescent="0.2">
      <c r="A87" s="2">
        <v>1014030</v>
      </c>
      <c r="B87" s="5" t="s">
        <v>186</v>
      </c>
      <c r="C87" s="5" t="s">
        <v>65</v>
      </c>
      <c r="D87" s="20" t="s">
        <v>135</v>
      </c>
      <c r="E87" s="16">
        <f t="shared" si="6"/>
        <v>18141668</v>
      </c>
      <c r="F87" s="74">
        <f>18061668+80000</f>
        <v>18141668</v>
      </c>
      <c r="G87" s="25">
        <v>13456515</v>
      </c>
      <c r="H87" s="25">
        <v>1156199</v>
      </c>
      <c r="I87" s="12"/>
      <c r="J87" s="16">
        <f t="shared" si="5"/>
        <v>530100</v>
      </c>
      <c r="K87" s="76">
        <v>300000</v>
      </c>
      <c r="L87" s="25">
        <v>183700</v>
      </c>
      <c r="M87" s="25">
        <v>69400</v>
      </c>
      <c r="N87" s="25">
        <v>10000</v>
      </c>
      <c r="O87" s="16">
        <f>K87+46400</f>
        <v>346400</v>
      </c>
      <c r="P87" s="23">
        <f t="shared" si="9"/>
        <v>18671768</v>
      </c>
    </row>
    <row r="88" spans="1:18" x14ac:dyDescent="0.2">
      <c r="A88" s="2">
        <v>1014040</v>
      </c>
      <c r="B88" s="5" t="s">
        <v>207</v>
      </c>
      <c r="C88" s="5" t="s">
        <v>65</v>
      </c>
      <c r="D88" s="20" t="s">
        <v>136</v>
      </c>
      <c r="E88" s="16">
        <f t="shared" si="6"/>
        <v>10908921</v>
      </c>
      <c r="F88" s="74">
        <f>10165821+743100</f>
        <v>10908921</v>
      </c>
      <c r="G88" s="25">
        <v>6997197</v>
      </c>
      <c r="H88" s="25">
        <v>1015132</v>
      </c>
      <c r="I88" s="12"/>
      <c r="J88" s="16">
        <f t="shared" si="5"/>
        <v>2255200</v>
      </c>
      <c r="K88" s="76">
        <f>100000+90000+1720700</f>
        <v>1910700</v>
      </c>
      <c r="L88" s="25">
        <v>301500</v>
      </c>
      <c r="M88" s="25">
        <v>40000</v>
      </c>
      <c r="N88" s="25">
        <v>28802</v>
      </c>
      <c r="O88" s="16">
        <f>K88+43000</f>
        <v>1953700</v>
      </c>
      <c r="P88" s="23">
        <f t="shared" si="9"/>
        <v>13164121</v>
      </c>
    </row>
    <row r="89" spans="1:18" x14ac:dyDescent="0.2">
      <c r="A89" s="2">
        <v>1014050</v>
      </c>
      <c r="B89" s="5" t="s">
        <v>140</v>
      </c>
      <c r="C89" s="5" t="s">
        <v>73</v>
      </c>
      <c r="D89" s="20" t="s">
        <v>139</v>
      </c>
      <c r="E89" s="16">
        <f t="shared" si="6"/>
        <v>4161617</v>
      </c>
      <c r="F89" s="74">
        <f>3916817+244800</f>
        <v>4161617</v>
      </c>
      <c r="G89" s="25">
        <v>2668206</v>
      </c>
      <c r="H89" s="25">
        <v>464336</v>
      </c>
      <c r="I89" s="12"/>
      <c r="J89" s="16">
        <f t="shared" si="5"/>
        <v>9979557</v>
      </c>
      <c r="K89" s="76">
        <f>3336686+3329262+2239609</f>
        <v>8905557</v>
      </c>
      <c r="L89" s="25">
        <v>1059000</v>
      </c>
      <c r="M89" s="25">
        <v>619100</v>
      </c>
      <c r="N89" s="25">
        <v>131100</v>
      </c>
      <c r="O89" s="16">
        <f>K89+15000</f>
        <v>8920557</v>
      </c>
      <c r="P89" s="23">
        <f t="shared" si="9"/>
        <v>14141174</v>
      </c>
    </row>
    <row r="90" spans="1:18" ht="25.5" x14ac:dyDescent="0.2">
      <c r="A90" s="2">
        <v>1014080</v>
      </c>
      <c r="B90" s="5" t="s">
        <v>72</v>
      </c>
      <c r="C90" s="5"/>
      <c r="D90" s="20" t="s">
        <v>141</v>
      </c>
      <c r="E90" s="16">
        <f t="shared" si="6"/>
        <v>6031100</v>
      </c>
      <c r="F90" s="25">
        <f>F91+F92</f>
        <v>6031100</v>
      </c>
      <c r="G90" s="25">
        <f>G91+G92</f>
        <v>3173285</v>
      </c>
      <c r="H90" s="25">
        <f>H91+H92</f>
        <v>214692</v>
      </c>
      <c r="I90" s="25">
        <f>I91+I92</f>
        <v>0</v>
      </c>
      <c r="J90" s="16">
        <f t="shared" si="5"/>
        <v>123000</v>
      </c>
      <c r="K90" s="25">
        <f>K91+K92</f>
        <v>0</v>
      </c>
      <c r="L90" s="25">
        <f>L91+L92</f>
        <v>123000</v>
      </c>
      <c r="M90" s="25">
        <f>M91+M92</f>
        <v>45280</v>
      </c>
      <c r="N90" s="25">
        <f>N91+N92</f>
        <v>16450</v>
      </c>
      <c r="O90" s="25">
        <f>O91+O92</f>
        <v>0</v>
      </c>
      <c r="P90" s="23">
        <f t="shared" si="9"/>
        <v>6154100</v>
      </c>
    </row>
    <row r="91" spans="1:18" ht="25.5" x14ac:dyDescent="0.2">
      <c r="A91" s="2">
        <v>1014081</v>
      </c>
      <c r="B91" s="15" t="s">
        <v>306</v>
      </c>
      <c r="C91" s="5" t="s">
        <v>307</v>
      </c>
      <c r="D91" s="20" t="s">
        <v>308</v>
      </c>
      <c r="E91" s="16">
        <f t="shared" si="6"/>
        <v>4679800</v>
      </c>
      <c r="F91" s="74">
        <f>4637800+42000</f>
        <v>4679800</v>
      </c>
      <c r="G91" s="25">
        <v>3173285</v>
      </c>
      <c r="H91" s="25">
        <v>214692</v>
      </c>
      <c r="I91" s="25"/>
      <c r="J91" s="16">
        <f t="shared" si="5"/>
        <v>123000</v>
      </c>
      <c r="K91" s="16"/>
      <c r="L91" s="16">
        <v>123000</v>
      </c>
      <c r="M91" s="16">
        <v>45280</v>
      </c>
      <c r="N91" s="16">
        <v>16450</v>
      </c>
      <c r="O91" s="16">
        <f>K91</f>
        <v>0</v>
      </c>
      <c r="P91" s="23">
        <f t="shared" si="9"/>
        <v>4802800</v>
      </c>
    </row>
    <row r="92" spans="1:18" x14ac:dyDescent="0.2">
      <c r="A92" s="2">
        <v>1014082</v>
      </c>
      <c r="B92" s="15" t="s">
        <v>309</v>
      </c>
      <c r="C92" s="5" t="s">
        <v>307</v>
      </c>
      <c r="D92" s="53" t="s">
        <v>310</v>
      </c>
      <c r="E92" s="16">
        <f t="shared" si="6"/>
        <v>1351300</v>
      </c>
      <c r="F92" s="74">
        <f>1195400+155900</f>
        <v>1351300</v>
      </c>
      <c r="G92" s="25"/>
      <c r="H92" s="25"/>
      <c r="I92" s="25"/>
      <c r="J92" s="16">
        <f t="shared" si="5"/>
        <v>0</v>
      </c>
      <c r="K92" s="16"/>
      <c r="L92" s="16"/>
      <c r="M92" s="16"/>
      <c r="N92" s="16"/>
      <c r="O92" s="16">
        <f>K92</f>
        <v>0</v>
      </c>
      <c r="P92" s="23">
        <f t="shared" si="9"/>
        <v>1351300</v>
      </c>
    </row>
    <row r="93" spans="1:18" s="6" customFormat="1" ht="25.5" x14ac:dyDescent="0.2">
      <c r="A93" s="1">
        <v>1100000</v>
      </c>
      <c r="B93" s="3"/>
      <c r="C93" s="3"/>
      <c r="D93" s="21" t="s">
        <v>76</v>
      </c>
      <c r="E93" s="23">
        <f t="shared" si="6"/>
        <v>38058863</v>
      </c>
      <c r="F93" s="23">
        <f>F94</f>
        <v>38058863</v>
      </c>
      <c r="G93" s="23">
        <f>G94</f>
        <v>12565100</v>
      </c>
      <c r="H93" s="23">
        <f>H94</f>
        <v>1160720</v>
      </c>
      <c r="I93" s="23">
        <f>I94</f>
        <v>0</v>
      </c>
      <c r="J93" s="23">
        <f t="shared" si="5"/>
        <v>650697</v>
      </c>
      <c r="K93" s="23">
        <f>K94</f>
        <v>445697</v>
      </c>
      <c r="L93" s="23">
        <f>L94</f>
        <v>205000</v>
      </c>
      <c r="M93" s="23">
        <f>M94</f>
        <v>0</v>
      </c>
      <c r="N93" s="23">
        <f>N94</f>
        <v>0</v>
      </c>
      <c r="O93" s="23">
        <f>O94</f>
        <v>445697</v>
      </c>
      <c r="P93" s="23">
        <f t="shared" si="9"/>
        <v>38709560</v>
      </c>
      <c r="Q93" s="75">
        <v>37910400</v>
      </c>
      <c r="R93" s="75">
        <f>P93-Q93</f>
        <v>799160</v>
      </c>
    </row>
    <row r="94" spans="1:18" s="6" customFormat="1" ht="25.5" x14ac:dyDescent="0.2">
      <c r="A94" s="1">
        <v>1110000</v>
      </c>
      <c r="B94" s="3"/>
      <c r="C94" s="3"/>
      <c r="D94" s="21" t="s">
        <v>77</v>
      </c>
      <c r="E94" s="23">
        <f t="shared" si="6"/>
        <v>38058863</v>
      </c>
      <c r="F94" s="23">
        <f>F95+F97+F99+F101+F103+F106+F109+F113+F115</f>
        <v>38058863</v>
      </c>
      <c r="G94" s="23">
        <f>G95+G97+G99+G101+G103+G106+G109+G113+G115</f>
        <v>12565100</v>
      </c>
      <c r="H94" s="23">
        <f>H95+H97+H99+H101+H103+H106+H109+H113+H115</f>
        <v>1160720</v>
      </c>
      <c r="I94" s="23">
        <f>I95+I97+I99+I101+I103+I106+I109+I113+I115</f>
        <v>0</v>
      </c>
      <c r="J94" s="23">
        <f t="shared" si="5"/>
        <v>650697</v>
      </c>
      <c r="K94" s="23">
        <f>K95+K97+K99+K101+K103+K106+K109+K113+K115</f>
        <v>445697</v>
      </c>
      <c r="L94" s="23">
        <f>L95+L97+L99+L101+L103+L106+L109+L113+L115</f>
        <v>205000</v>
      </c>
      <c r="M94" s="23">
        <f>M95+M97+M99+M101+M103+M106+M109+M113+M115</f>
        <v>0</v>
      </c>
      <c r="N94" s="23">
        <f>N95+N97+N99+N101+N103+N106+N109+N113+N115</f>
        <v>0</v>
      </c>
      <c r="O94" s="23">
        <f>O95+O97+O99+O101+O103+O106+O109+O113+O115</f>
        <v>445697</v>
      </c>
      <c r="P94" s="23">
        <f t="shared" si="9"/>
        <v>38709560</v>
      </c>
      <c r="Q94" s="75">
        <v>37705400</v>
      </c>
      <c r="R94" s="75">
        <f>E93-Q94</f>
        <v>353463</v>
      </c>
    </row>
    <row r="95" spans="1:18" ht="25.5" x14ac:dyDescent="0.2">
      <c r="A95" s="2">
        <v>1113110</v>
      </c>
      <c r="B95" s="5" t="s">
        <v>84</v>
      </c>
      <c r="C95" s="5"/>
      <c r="D95" s="19" t="s">
        <v>85</v>
      </c>
      <c r="E95" s="16">
        <f t="shared" si="6"/>
        <v>787030</v>
      </c>
      <c r="F95" s="16">
        <f>F96</f>
        <v>787030</v>
      </c>
      <c r="G95" s="16">
        <f>G96</f>
        <v>493600</v>
      </c>
      <c r="H95" s="16">
        <f>H96</f>
        <v>74750</v>
      </c>
      <c r="I95" s="16">
        <f>I96</f>
        <v>0</v>
      </c>
      <c r="J95" s="16">
        <f t="shared" si="5"/>
        <v>6271</v>
      </c>
      <c r="K95" s="16">
        <f>K96</f>
        <v>6271</v>
      </c>
      <c r="L95" s="16">
        <f>L96</f>
        <v>0</v>
      </c>
      <c r="M95" s="16">
        <f>M96</f>
        <v>0</v>
      </c>
      <c r="N95" s="16">
        <f>N96</f>
        <v>0</v>
      </c>
      <c r="O95" s="16">
        <f>O96</f>
        <v>6271</v>
      </c>
      <c r="P95" s="23">
        <f t="shared" si="9"/>
        <v>793301</v>
      </c>
      <c r="Q95" s="84">
        <v>205000</v>
      </c>
      <c r="R95" s="84">
        <f>J93-Q95</f>
        <v>445697</v>
      </c>
    </row>
    <row r="96" spans="1:18" s="72" customFormat="1" ht="78.599999999999994" customHeight="1" x14ac:dyDescent="0.2">
      <c r="A96" s="2">
        <v>1113111</v>
      </c>
      <c r="B96" s="5" t="s">
        <v>270</v>
      </c>
      <c r="C96" s="5" t="s">
        <v>17</v>
      </c>
      <c r="D96" s="20" t="s">
        <v>341</v>
      </c>
      <c r="E96" s="16">
        <f t="shared" si="6"/>
        <v>787030</v>
      </c>
      <c r="F96" s="76">
        <f>769530+17500</f>
        <v>787030</v>
      </c>
      <c r="G96" s="16">
        <v>493600</v>
      </c>
      <c r="H96" s="16">
        <v>74750</v>
      </c>
      <c r="I96" s="11"/>
      <c r="J96" s="16">
        <f t="shared" si="5"/>
        <v>6271</v>
      </c>
      <c r="K96" s="76">
        <f>6271</f>
        <v>6271</v>
      </c>
      <c r="L96" s="16"/>
      <c r="M96" s="16"/>
      <c r="N96" s="16"/>
      <c r="O96" s="16">
        <f>K96</f>
        <v>6271</v>
      </c>
      <c r="P96" s="23">
        <f t="shared" si="9"/>
        <v>793301</v>
      </c>
      <c r="Q96" s="91"/>
      <c r="R96" s="91"/>
    </row>
    <row r="97" spans="1:18" ht="28.15" customHeight="1" x14ac:dyDescent="0.2">
      <c r="A97" s="2">
        <v>1113120</v>
      </c>
      <c r="B97" s="5">
        <v>3120</v>
      </c>
      <c r="C97" s="5"/>
      <c r="D97" s="19" t="s">
        <v>87</v>
      </c>
      <c r="E97" s="16">
        <f t="shared" si="6"/>
        <v>1560840</v>
      </c>
      <c r="F97" s="16">
        <f>F98</f>
        <v>1560840</v>
      </c>
      <c r="G97" s="16">
        <f>G98</f>
        <v>1048600</v>
      </c>
      <c r="H97" s="16">
        <f>H98</f>
        <v>72040</v>
      </c>
      <c r="I97" s="16">
        <f>I98</f>
        <v>0</v>
      </c>
      <c r="J97" s="16">
        <f t="shared" si="5"/>
        <v>18000</v>
      </c>
      <c r="K97" s="16">
        <f>K98</f>
        <v>18000</v>
      </c>
      <c r="L97" s="16">
        <f>L98</f>
        <v>0</v>
      </c>
      <c r="M97" s="16">
        <f>M98</f>
        <v>0</v>
      </c>
      <c r="N97" s="16">
        <f>N98</f>
        <v>0</v>
      </c>
      <c r="O97" s="16">
        <f>O98</f>
        <v>18000</v>
      </c>
      <c r="P97" s="23">
        <f t="shared" si="9"/>
        <v>1578840</v>
      </c>
    </row>
    <row r="98" spans="1:18" ht="43.15" customHeight="1" x14ac:dyDescent="0.2">
      <c r="A98" s="2">
        <v>1113121</v>
      </c>
      <c r="B98" s="5">
        <v>3121</v>
      </c>
      <c r="C98" s="5" t="s">
        <v>17</v>
      </c>
      <c r="D98" s="20" t="s">
        <v>271</v>
      </c>
      <c r="E98" s="16">
        <f t="shared" si="6"/>
        <v>1560840</v>
      </c>
      <c r="F98" s="16">
        <v>1560840</v>
      </c>
      <c r="G98" s="16">
        <v>1048600</v>
      </c>
      <c r="H98" s="16">
        <v>72040</v>
      </c>
      <c r="I98" s="11"/>
      <c r="J98" s="16">
        <f t="shared" si="5"/>
        <v>18000</v>
      </c>
      <c r="K98" s="76">
        <f>18000</f>
        <v>18000</v>
      </c>
      <c r="L98" s="16"/>
      <c r="M98" s="16"/>
      <c r="N98" s="16"/>
      <c r="O98" s="16">
        <f>K98</f>
        <v>18000</v>
      </c>
      <c r="P98" s="23">
        <f t="shared" si="9"/>
        <v>1578840</v>
      </c>
    </row>
    <row r="99" spans="1:18" ht="25.5" x14ac:dyDescent="0.2">
      <c r="A99" s="2">
        <v>1113130</v>
      </c>
      <c r="B99" s="5" t="s">
        <v>86</v>
      </c>
      <c r="C99" s="5"/>
      <c r="D99" s="20" t="s">
        <v>95</v>
      </c>
      <c r="E99" s="16">
        <f t="shared" si="6"/>
        <v>1020400</v>
      </c>
      <c r="F99" s="16">
        <f>F100</f>
        <v>1020400</v>
      </c>
      <c r="G99" s="16">
        <f>G100</f>
        <v>0</v>
      </c>
      <c r="H99" s="16">
        <f>H100</f>
        <v>0</v>
      </c>
      <c r="I99" s="16">
        <f>I100</f>
        <v>0</v>
      </c>
      <c r="J99" s="16">
        <f t="shared" si="5"/>
        <v>0</v>
      </c>
      <c r="K99" s="16">
        <f>K100</f>
        <v>0</v>
      </c>
      <c r="L99" s="16">
        <f>L100</f>
        <v>0</v>
      </c>
      <c r="M99" s="16">
        <f>M100</f>
        <v>0</v>
      </c>
      <c r="N99" s="16">
        <f>N100</f>
        <v>0</v>
      </c>
      <c r="O99" s="16">
        <f>O100</f>
        <v>0</v>
      </c>
      <c r="P99" s="23">
        <f t="shared" si="9"/>
        <v>1020400</v>
      </c>
    </row>
    <row r="100" spans="1:18" ht="38.25" x14ac:dyDescent="0.2">
      <c r="A100" s="2">
        <v>1113131</v>
      </c>
      <c r="B100" s="5" t="s">
        <v>272</v>
      </c>
      <c r="C100" s="5" t="s">
        <v>17</v>
      </c>
      <c r="D100" s="20" t="s">
        <v>273</v>
      </c>
      <c r="E100" s="16">
        <f t="shared" si="6"/>
        <v>1020400</v>
      </c>
      <c r="F100" s="16">
        <v>1020400</v>
      </c>
      <c r="G100" s="16"/>
      <c r="H100" s="16"/>
      <c r="I100" s="11"/>
      <c r="J100" s="16">
        <f t="shared" si="5"/>
        <v>0</v>
      </c>
      <c r="K100" s="16"/>
      <c r="L100" s="16"/>
      <c r="M100" s="16"/>
      <c r="N100" s="16"/>
      <c r="O100" s="16">
        <f>K100</f>
        <v>0</v>
      </c>
      <c r="P100" s="23">
        <f t="shared" si="9"/>
        <v>1020400</v>
      </c>
    </row>
    <row r="101" spans="1:18" x14ac:dyDescent="0.2">
      <c r="A101" s="2">
        <v>1113240</v>
      </c>
      <c r="B101" s="5" t="s">
        <v>193</v>
      </c>
      <c r="C101" s="5"/>
      <c r="D101" s="20" t="s">
        <v>156</v>
      </c>
      <c r="E101" s="16">
        <f t="shared" si="6"/>
        <v>4368693</v>
      </c>
      <c r="F101" s="16">
        <f>F102</f>
        <v>4368693</v>
      </c>
      <c r="G101" s="16">
        <f>G102</f>
        <v>2245400</v>
      </c>
      <c r="H101" s="16">
        <f>H102</f>
        <v>823230</v>
      </c>
      <c r="I101" s="16">
        <f>I102</f>
        <v>0</v>
      </c>
      <c r="J101" s="16">
        <f t="shared" si="5"/>
        <v>321002</v>
      </c>
      <c r="K101" s="16">
        <f>K102</f>
        <v>116002</v>
      </c>
      <c r="L101" s="16">
        <f>L102</f>
        <v>205000</v>
      </c>
      <c r="M101" s="16">
        <f>M102</f>
        <v>0</v>
      </c>
      <c r="N101" s="16">
        <f>N102</f>
        <v>0</v>
      </c>
      <c r="O101" s="16">
        <f>O102</f>
        <v>116002</v>
      </c>
      <c r="P101" s="23">
        <f t="shared" si="9"/>
        <v>4689695</v>
      </c>
    </row>
    <row r="102" spans="1:18" ht="38.25" x14ac:dyDescent="0.2">
      <c r="A102" s="2">
        <v>1113241</v>
      </c>
      <c r="B102" s="5" t="s">
        <v>264</v>
      </c>
      <c r="C102" s="5" t="s">
        <v>25</v>
      </c>
      <c r="D102" s="20" t="s">
        <v>265</v>
      </c>
      <c r="E102" s="16">
        <f t="shared" si="6"/>
        <v>4368693</v>
      </c>
      <c r="F102" s="76">
        <f>4300730+6000+61963</f>
        <v>4368693</v>
      </c>
      <c r="G102" s="16">
        <v>2245400</v>
      </c>
      <c r="H102" s="16">
        <v>823230</v>
      </c>
      <c r="I102" s="16"/>
      <c r="J102" s="16">
        <f t="shared" si="5"/>
        <v>321002</v>
      </c>
      <c r="K102" s="76">
        <f>107002+9000</f>
        <v>116002</v>
      </c>
      <c r="L102" s="16">
        <v>205000</v>
      </c>
      <c r="M102" s="16"/>
      <c r="N102" s="16"/>
      <c r="O102" s="16">
        <f>K102</f>
        <v>116002</v>
      </c>
      <c r="P102" s="23">
        <f t="shared" si="9"/>
        <v>4689695</v>
      </c>
    </row>
    <row r="103" spans="1:18" ht="26.45" customHeight="1" x14ac:dyDescent="0.2">
      <c r="A103" s="2">
        <v>1115010</v>
      </c>
      <c r="B103" s="5" t="s">
        <v>80</v>
      </c>
      <c r="C103" s="5"/>
      <c r="D103" s="20" t="s">
        <v>82</v>
      </c>
      <c r="E103" s="16">
        <f t="shared" si="6"/>
        <v>10895170</v>
      </c>
      <c r="F103" s="16">
        <f>F104+F105</f>
        <v>10895170</v>
      </c>
      <c r="G103" s="16">
        <f>G104+G105</f>
        <v>0</v>
      </c>
      <c r="H103" s="16">
        <f>H104+H105</f>
        <v>0</v>
      </c>
      <c r="I103" s="16">
        <f>I104+I105</f>
        <v>0</v>
      </c>
      <c r="J103" s="16">
        <f t="shared" si="5"/>
        <v>0</v>
      </c>
      <c r="K103" s="16">
        <f>K104+K105</f>
        <v>0</v>
      </c>
      <c r="L103" s="16">
        <f>L104+L105</f>
        <v>0</v>
      </c>
      <c r="M103" s="16">
        <f>M104+M105</f>
        <v>0</v>
      </c>
      <c r="N103" s="16">
        <f>N104+N105</f>
        <v>0</v>
      </c>
      <c r="O103" s="16">
        <f>O104+O105</f>
        <v>0</v>
      </c>
      <c r="P103" s="23">
        <f t="shared" si="9"/>
        <v>10895170</v>
      </c>
    </row>
    <row r="104" spans="1:18" ht="38.25" x14ac:dyDescent="0.2">
      <c r="A104" s="2">
        <v>1115011</v>
      </c>
      <c r="B104" s="5" t="s">
        <v>274</v>
      </c>
      <c r="C104" s="5" t="s">
        <v>275</v>
      </c>
      <c r="D104" s="20" t="s">
        <v>276</v>
      </c>
      <c r="E104" s="16">
        <f t="shared" si="6"/>
        <v>8450090</v>
      </c>
      <c r="F104" s="16">
        <v>8450090</v>
      </c>
      <c r="G104" s="16"/>
      <c r="H104" s="16"/>
      <c r="I104" s="11"/>
      <c r="J104" s="16">
        <f t="shared" si="5"/>
        <v>0</v>
      </c>
      <c r="K104" s="16"/>
      <c r="L104" s="16"/>
      <c r="M104" s="16"/>
      <c r="N104" s="16"/>
      <c r="O104" s="16">
        <f>K104</f>
        <v>0</v>
      </c>
      <c r="P104" s="23">
        <f t="shared" si="9"/>
        <v>8450090</v>
      </c>
    </row>
    <row r="105" spans="1:18" ht="38.25" x14ac:dyDescent="0.2">
      <c r="A105" s="2">
        <v>1115012</v>
      </c>
      <c r="B105" s="5" t="s">
        <v>277</v>
      </c>
      <c r="C105" s="5" t="s">
        <v>275</v>
      </c>
      <c r="D105" s="20" t="s">
        <v>278</v>
      </c>
      <c r="E105" s="16">
        <f t="shared" si="6"/>
        <v>2445080</v>
      </c>
      <c r="F105" s="16">
        <v>2445080</v>
      </c>
      <c r="G105" s="16"/>
      <c r="H105" s="16"/>
      <c r="I105" s="11"/>
      <c r="J105" s="16">
        <f t="shared" si="5"/>
        <v>0</v>
      </c>
      <c r="K105" s="16"/>
      <c r="L105" s="16"/>
      <c r="M105" s="16"/>
      <c r="N105" s="16"/>
      <c r="O105" s="16">
        <f>K105</f>
        <v>0</v>
      </c>
      <c r="P105" s="23">
        <f t="shared" si="9"/>
        <v>2445080</v>
      </c>
    </row>
    <row r="106" spans="1:18" ht="42.6" customHeight="1" x14ac:dyDescent="0.2">
      <c r="A106" s="2">
        <v>1115020</v>
      </c>
      <c r="B106" s="5" t="s">
        <v>81</v>
      </c>
      <c r="C106" s="5"/>
      <c r="D106" s="20" t="s">
        <v>217</v>
      </c>
      <c r="E106" s="16">
        <f>F106+I106</f>
        <v>2630760</v>
      </c>
      <c r="F106" s="16">
        <f>F107+F108</f>
        <v>2630760</v>
      </c>
      <c r="G106" s="16">
        <f>G107+G108</f>
        <v>1773200</v>
      </c>
      <c r="H106" s="16">
        <f>H107+H108</f>
        <v>21860</v>
      </c>
      <c r="I106" s="16">
        <f>I107+I108</f>
        <v>0</v>
      </c>
      <c r="J106" s="16">
        <f t="shared" si="5"/>
        <v>0</v>
      </c>
      <c r="K106" s="16">
        <f>K107+K108</f>
        <v>0</v>
      </c>
      <c r="L106" s="16">
        <f>L107+L108</f>
        <v>0</v>
      </c>
      <c r="M106" s="16">
        <f>M107+M108</f>
        <v>0</v>
      </c>
      <c r="N106" s="16">
        <f>N107+N108</f>
        <v>0</v>
      </c>
      <c r="O106" s="16">
        <f>O107+O108</f>
        <v>0</v>
      </c>
      <c r="P106" s="23">
        <f t="shared" si="9"/>
        <v>2630760</v>
      </c>
    </row>
    <row r="107" spans="1:18" ht="42.6" customHeight="1" x14ac:dyDescent="0.2">
      <c r="A107" s="2">
        <v>1115021</v>
      </c>
      <c r="B107" s="5" t="s">
        <v>279</v>
      </c>
      <c r="C107" s="5" t="s">
        <v>275</v>
      </c>
      <c r="D107" s="20" t="s">
        <v>280</v>
      </c>
      <c r="E107" s="16">
        <f>F107+I107</f>
        <v>2340860</v>
      </c>
      <c r="F107" s="16">
        <v>2340860</v>
      </c>
      <c r="G107" s="16">
        <v>1773200</v>
      </c>
      <c r="H107" s="16">
        <v>21860</v>
      </c>
      <c r="I107" s="11"/>
      <c r="J107" s="16">
        <f t="shared" si="5"/>
        <v>0</v>
      </c>
      <c r="K107" s="16"/>
      <c r="L107" s="16"/>
      <c r="M107" s="16"/>
      <c r="N107" s="16"/>
      <c r="O107" s="16">
        <f>K107</f>
        <v>0</v>
      </c>
      <c r="P107" s="23">
        <f t="shared" si="9"/>
        <v>2340860</v>
      </c>
    </row>
    <row r="108" spans="1:18" ht="38.25" x14ac:dyDescent="0.2">
      <c r="A108" s="2">
        <v>1115022</v>
      </c>
      <c r="B108" s="5" t="s">
        <v>281</v>
      </c>
      <c r="C108" s="5" t="s">
        <v>275</v>
      </c>
      <c r="D108" s="20" t="s">
        <v>282</v>
      </c>
      <c r="E108" s="16">
        <f>F108+I108</f>
        <v>289900</v>
      </c>
      <c r="F108" s="16">
        <v>289900</v>
      </c>
      <c r="G108" s="16"/>
      <c r="H108" s="16"/>
      <c r="I108" s="11"/>
      <c r="J108" s="16">
        <f t="shared" si="5"/>
        <v>0</v>
      </c>
      <c r="K108" s="16"/>
      <c r="L108" s="16"/>
      <c r="M108" s="16"/>
      <c r="N108" s="16"/>
      <c r="O108" s="16">
        <f>K108</f>
        <v>0</v>
      </c>
      <c r="P108" s="23">
        <f t="shared" si="9"/>
        <v>289900</v>
      </c>
    </row>
    <row r="109" spans="1:18" s="29" customFormat="1" ht="25.5" x14ac:dyDescent="0.2">
      <c r="A109" s="2">
        <v>1115030</v>
      </c>
      <c r="B109" s="5" t="s">
        <v>93</v>
      </c>
      <c r="C109" s="5"/>
      <c r="D109" s="20" t="s">
        <v>92</v>
      </c>
      <c r="E109" s="16">
        <f t="shared" si="6"/>
        <v>12542990</v>
      </c>
      <c r="F109" s="16">
        <f>F110+F111+F112</f>
        <v>12542990</v>
      </c>
      <c r="G109" s="16">
        <f>G110+G111+G112</f>
        <v>6489000</v>
      </c>
      <c r="H109" s="16">
        <f>H110+H111+H112</f>
        <v>145480</v>
      </c>
      <c r="I109" s="16">
        <f>I110+I111+I112</f>
        <v>0</v>
      </c>
      <c r="J109" s="16">
        <f t="shared" si="5"/>
        <v>305424</v>
      </c>
      <c r="K109" s="16">
        <f>K110+K111+K112</f>
        <v>305424</v>
      </c>
      <c r="L109" s="16">
        <f>L110+L111+L112</f>
        <v>0</v>
      </c>
      <c r="M109" s="16">
        <f>M110+M111+M112</f>
        <v>0</v>
      </c>
      <c r="N109" s="16">
        <f>N110+N111+N112</f>
        <v>0</v>
      </c>
      <c r="O109" s="16">
        <f>O110+O111+O112</f>
        <v>305424</v>
      </c>
      <c r="P109" s="23">
        <f t="shared" si="9"/>
        <v>12848414</v>
      </c>
      <c r="Q109" s="87"/>
      <c r="R109" s="87"/>
    </row>
    <row r="110" spans="1:18" ht="38.25" x14ac:dyDescent="0.2">
      <c r="A110" s="2">
        <v>1115031</v>
      </c>
      <c r="B110" s="5" t="s">
        <v>283</v>
      </c>
      <c r="C110" s="5" t="s">
        <v>275</v>
      </c>
      <c r="D110" s="20" t="s">
        <v>284</v>
      </c>
      <c r="E110" s="16">
        <f>F110+I110</f>
        <v>4808360</v>
      </c>
      <c r="F110" s="16">
        <v>4808360</v>
      </c>
      <c r="G110" s="16">
        <v>3226900</v>
      </c>
      <c r="H110" s="16">
        <v>54260</v>
      </c>
      <c r="I110" s="11"/>
      <c r="J110" s="16">
        <f t="shared" si="5"/>
        <v>305424</v>
      </c>
      <c r="K110" s="76">
        <f>25000+7800+57764+67860+37800+109200</f>
        <v>305424</v>
      </c>
      <c r="L110" s="16"/>
      <c r="M110" s="16"/>
      <c r="N110" s="16"/>
      <c r="O110" s="16">
        <f>K110</f>
        <v>305424</v>
      </c>
      <c r="P110" s="23">
        <f t="shared" si="9"/>
        <v>5113784</v>
      </c>
    </row>
    <row r="111" spans="1:18" ht="38.25" x14ac:dyDescent="0.2">
      <c r="A111" s="2">
        <v>1115032</v>
      </c>
      <c r="B111" s="5" t="s">
        <v>285</v>
      </c>
      <c r="C111" s="5" t="s">
        <v>275</v>
      </c>
      <c r="D111" s="20" t="s">
        <v>286</v>
      </c>
      <c r="E111" s="16">
        <f>F111+I111</f>
        <v>2572600</v>
      </c>
      <c r="F111" s="16">
        <v>2572600</v>
      </c>
      <c r="G111" s="16"/>
      <c r="H111" s="16"/>
      <c r="I111" s="11"/>
      <c r="J111" s="16">
        <f t="shared" si="5"/>
        <v>0</v>
      </c>
      <c r="K111" s="16"/>
      <c r="L111" s="16"/>
      <c r="M111" s="16"/>
      <c r="N111" s="16"/>
      <c r="O111" s="16">
        <f>K111</f>
        <v>0</v>
      </c>
      <c r="P111" s="23">
        <f t="shared" si="9"/>
        <v>2572600</v>
      </c>
    </row>
    <row r="112" spans="1:18" ht="44.45" customHeight="1" x14ac:dyDescent="0.2">
      <c r="A112" s="2">
        <v>1115033</v>
      </c>
      <c r="B112" s="5" t="s">
        <v>287</v>
      </c>
      <c r="C112" s="5" t="s">
        <v>275</v>
      </c>
      <c r="D112" s="20" t="s">
        <v>288</v>
      </c>
      <c r="E112" s="16">
        <f>F112+I112</f>
        <v>5162030</v>
      </c>
      <c r="F112" s="76">
        <f>4962030+200000</f>
        <v>5162030</v>
      </c>
      <c r="G112" s="16">
        <v>3262100</v>
      </c>
      <c r="H112" s="16">
        <v>91220</v>
      </c>
      <c r="I112" s="11"/>
      <c r="J112" s="16">
        <f t="shared" si="5"/>
        <v>0</v>
      </c>
      <c r="K112" s="16"/>
      <c r="L112" s="16"/>
      <c r="M112" s="16"/>
      <c r="N112" s="16"/>
      <c r="O112" s="16">
        <f>K112</f>
        <v>0</v>
      </c>
      <c r="P112" s="23">
        <f t="shared" si="9"/>
        <v>5162030</v>
      </c>
    </row>
    <row r="113" spans="1:26" ht="25.5" x14ac:dyDescent="0.2">
      <c r="A113" s="2">
        <v>1115050</v>
      </c>
      <c r="B113" s="5" t="s">
        <v>96</v>
      </c>
      <c r="C113" s="5"/>
      <c r="D113" s="20" t="s">
        <v>97</v>
      </c>
      <c r="E113" s="16">
        <f>F113+I113</f>
        <v>1608200</v>
      </c>
      <c r="F113" s="16">
        <f>F114</f>
        <v>1608200</v>
      </c>
      <c r="G113" s="16">
        <f>G114</f>
        <v>0</v>
      </c>
      <c r="H113" s="16">
        <f>H114</f>
        <v>0</v>
      </c>
      <c r="I113" s="16">
        <f>I114</f>
        <v>0</v>
      </c>
      <c r="J113" s="16">
        <f t="shared" si="5"/>
        <v>0</v>
      </c>
      <c r="K113" s="16">
        <f>K114</f>
        <v>0</v>
      </c>
      <c r="L113" s="16">
        <f>L114</f>
        <v>0</v>
      </c>
      <c r="M113" s="16">
        <f>M114</f>
        <v>0</v>
      </c>
      <c r="N113" s="16">
        <f>N114</f>
        <v>0</v>
      </c>
      <c r="O113" s="16">
        <f>O114</f>
        <v>0</v>
      </c>
      <c r="P113" s="23">
        <f t="shared" si="9"/>
        <v>1608200</v>
      </c>
    </row>
    <row r="114" spans="1:26" ht="51" x14ac:dyDescent="0.2">
      <c r="A114" s="2">
        <v>1115053</v>
      </c>
      <c r="B114" s="5" t="s">
        <v>289</v>
      </c>
      <c r="C114" s="5" t="s">
        <v>275</v>
      </c>
      <c r="D114" s="20" t="s">
        <v>290</v>
      </c>
      <c r="E114" s="16">
        <f t="shared" si="6"/>
        <v>1608200</v>
      </c>
      <c r="F114" s="76">
        <f>1540200+68000</f>
        <v>1608200</v>
      </c>
      <c r="G114" s="16"/>
      <c r="H114" s="16"/>
      <c r="I114" s="11"/>
      <c r="J114" s="16">
        <f t="shared" si="5"/>
        <v>0</v>
      </c>
      <c r="K114" s="16"/>
      <c r="L114" s="16"/>
      <c r="M114" s="16"/>
      <c r="N114" s="16"/>
      <c r="O114" s="16">
        <f>K114</f>
        <v>0</v>
      </c>
      <c r="P114" s="23">
        <f t="shared" si="9"/>
        <v>1608200</v>
      </c>
    </row>
    <row r="115" spans="1:26" ht="31.9" customHeight="1" x14ac:dyDescent="0.2">
      <c r="A115" s="2">
        <v>1115060</v>
      </c>
      <c r="B115" s="5" t="s">
        <v>75</v>
      </c>
      <c r="C115" s="5"/>
      <c r="D115" s="20" t="s">
        <v>94</v>
      </c>
      <c r="E115" s="16">
        <f t="shared" si="6"/>
        <v>2644780</v>
      </c>
      <c r="F115" s="16">
        <f>F116+F117</f>
        <v>2644780</v>
      </c>
      <c r="G115" s="16">
        <f t="shared" ref="G115:O115" si="10">G116+G117</f>
        <v>515300</v>
      </c>
      <c r="H115" s="16">
        <f t="shared" si="10"/>
        <v>23360</v>
      </c>
      <c r="I115" s="16">
        <f t="shared" si="10"/>
        <v>0</v>
      </c>
      <c r="J115" s="16">
        <f t="shared" si="5"/>
        <v>0</v>
      </c>
      <c r="K115" s="16">
        <f t="shared" si="10"/>
        <v>0</v>
      </c>
      <c r="L115" s="16">
        <f t="shared" si="10"/>
        <v>0</v>
      </c>
      <c r="M115" s="16">
        <f t="shared" si="10"/>
        <v>0</v>
      </c>
      <c r="N115" s="16">
        <f t="shared" si="10"/>
        <v>0</v>
      </c>
      <c r="O115" s="16">
        <f t="shared" si="10"/>
        <v>0</v>
      </c>
      <c r="P115" s="23">
        <f t="shared" si="9"/>
        <v>2644780</v>
      </c>
    </row>
    <row r="116" spans="1:26" ht="63.6" customHeight="1" x14ac:dyDescent="0.2">
      <c r="A116" s="2">
        <v>1115061</v>
      </c>
      <c r="B116" s="5" t="s">
        <v>291</v>
      </c>
      <c r="C116" s="5" t="s">
        <v>275</v>
      </c>
      <c r="D116" s="20" t="s">
        <v>292</v>
      </c>
      <c r="E116" s="16">
        <f>F116+I116</f>
        <v>890080</v>
      </c>
      <c r="F116" s="16">
        <v>890080</v>
      </c>
      <c r="G116" s="16">
        <v>515300</v>
      </c>
      <c r="H116" s="16">
        <v>23360</v>
      </c>
      <c r="I116" s="11"/>
      <c r="J116" s="16">
        <f t="shared" si="5"/>
        <v>0</v>
      </c>
      <c r="K116" s="16"/>
      <c r="L116" s="16"/>
      <c r="M116" s="16"/>
      <c r="N116" s="16"/>
      <c r="O116" s="16">
        <f>K116</f>
        <v>0</v>
      </c>
      <c r="P116" s="23">
        <f t="shared" si="9"/>
        <v>890080</v>
      </c>
    </row>
    <row r="117" spans="1:26" s="6" customFormat="1" ht="48.6" customHeight="1" x14ac:dyDescent="0.2">
      <c r="A117" s="2">
        <v>1115062</v>
      </c>
      <c r="B117" s="5" t="s">
        <v>293</v>
      </c>
      <c r="C117" s="5" t="s">
        <v>275</v>
      </c>
      <c r="D117" s="20" t="s">
        <v>294</v>
      </c>
      <c r="E117" s="16">
        <f>F117+I117</f>
        <v>1754700</v>
      </c>
      <c r="F117" s="16">
        <v>1754700</v>
      </c>
      <c r="G117" s="16"/>
      <c r="H117" s="16"/>
      <c r="I117" s="11"/>
      <c r="J117" s="16">
        <f t="shared" si="5"/>
        <v>0</v>
      </c>
      <c r="K117" s="16"/>
      <c r="L117" s="16"/>
      <c r="M117" s="16"/>
      <c r="N117" s="16"/>
      <c r="O117" s="16">
        <f>K117</f>
        <v>0</v>
      </c>
      <c r="P117" s="23">
        <f t="shared" si="9"/>
        <v>1754700</v>
      </c>
      <c r="Q117" s="75"/>
      <c r="R117" s="75"/>
    </row>
    <row r="118" spans="1:26" s="55" customFormat="1" ht="55.9" customHeight="1" x14ac:dyDescent="0.2">
      <c r="A118" s="44">
        <v>1500000</v>
      </c>
      <c r="B118" s="44"/>
      <c r="C118" s="56"/>
      <c r="D118" s="46" t="s">
        <v>235</v>
      </c>
      <c r="E118" s="39">
        <f t="shared" ref="E118:E140" si="11">F118+I118</f>
        <v>0</v>
      </c>
      <c r="F118" s="39">
        <f t="shared" ref="F118:O118" si="12">F119</f>
        <v>0</v>
      </c>
      <c r="G118" s="39">
        <f t="shared" si="12"/>
        <v>0</v>
      </c>
      <c r="H118" s="39">
        <f t="shared" si="12"/>
        <v>0</v>
      </c>
      <c r="I118" s="39">
        <f t="shared" si="12"/>
        <v>0</v>
      </c>
      <c r="J118" s="23">
        <f t="shared" ref="J118:J141" si="13">L118+O118</f>
        <v>731310062</v>
      </c>
      <c r="K118" s="39">
        <f t="shared" si="12"/>
        <v>189906517</v>
      </c>
      <c r="L118" s="39">
        <f t="shared" si="12"/>
        <v>443297745</v>
      </c>
      <c r="M118" s="39">
        <f t="shared" si="12"/>
        <v>0</v>
      </c>
      <c r="N118" s="39">
        <f t="shared" si="12"/>
        <v>0</v>
      </c>
      <c r="O118" s="39">
        <f t="shared" si="12"/>
        <v>288012317</v>
      </c>
      <c r="P118" s="23">
        <f t="shared" ref="P118:P150" si="14">E118+J118</f>
        <v>731310062</v>
      </c>
      <c r="Q118" s="117">
        <v>610677700</v>
      </c>
      <c r="R118" s="117">
        <f>P118-Q118</f>
        <v>120632362</v>
      </c>
      <c r="S118" s="55" t="s">
        <v>393</v>
      </c>
    </row>
    <row r="119" spans="1:26" s="6" customFormat="1" ht="39.75" x14ac:dyDescent="0.2">
      <c r="A119" s="44">
        <v>1510000</v>
      </c>
      <c r="B119" s="44"/>
      <c r="C119" s="56"/>
      <c r="D119" s="46" t="s">
        <v>236</v>
      </c>
      <c r="E119" s="39">
        <f t="shared" si="11"/>
        <v>0</v>
      </c>
      <c r="F119" s="39">
        <f>F120+F121+F123</f>
        <v>0</v>
      </c>
      <c r="G119" s="39">
        <f>G120+G121+G123</f>
        <v>0</v>
      </c>
      <c r="H119" s="39">
        <f>H120+H121+H123</f>
        <v>0</v>
      </c>
      <c r="I119" s="39">
        <f>I120+I121+I123</f>
        <v>0</v>
      </c>
      <c r="J119" s="23">
        <f t="shared" si="13"/>
        <v>731310062</v>
      </c>
      <c r="K119" s="39">
        <f>K120+K121+K123</f>
        <v>189906517</v>
      </c>
      <c r="L119" s="39">
        <f>L120+L121+L123</f>
        <v>443297745</v>
      </c>
      <c r="M119" s="39">
        <f>M120+M121+M123</f>
        <v>0</v>
      </c>
      <c r="N119" s="39">
        <f>N120+N121+N123</f>
        <v>0</v>
      </c>
      <c r="O119" s="39">
        <f>O120+O121+O123</f>
        <v>288012317</v>
      </c>
      <c r="P119" s="23">
        <f t="shared" si="14"/>
        <v>731310062</v>
      </c>
      <c r="Q119" s="75"/>
      <c r="R119" s="75"/>
      <c r="S119" s="6" t="s">
        <v>394</v>
      </c>
    </row>
    <row r="120" spans="1:26" ht="25.5" x14ac:dyDescent="0.2">
      <c r="A120" s="45">
        <v>1516080</v>
      </c>
      <c r="B120" s="45">
        <v>6080</v>
      </c>
      <c r="C120" s="47"/>
      <c r="D120" s="36" t="s">
        <v>228</v>
      </c>
      <c r="E120" s="40">
        <f t="shared" si="11"/>
        <v>0</v>
      </c>
      <c r="F120" s="40"/>
      <c r="G120" s="40"/>
      <c r="H120" s="40"/>
      <c r="I120" s="40"/>
      <c r="J120" s="16">
        <f t="shared" si="13"/>
        <v>0</v>
      </c>
      <c r="K120" s="16"/>
      <c r="L120" s="40"/>
      <c r="M120" s="40"/>
      <c r="N120" s="40"/>
      <c r="O120" s="16">
        <f>K120</f>
        <v>0</v>
      </c>
      <c r="P120" s="23">
        <f t="shared" si="14"/>
        <v>0</v>
      </c>
    </row>
    <row r="121" spans="1:26" ht="15.6" customHeight="1" x14ac:dyDescent="0.2">
      <c r="A121" s="45">
        <v>1517360</v>
      </c>
      <c r="B121" s="45">
        <v>7360</v>
      </c>
      <c r="C121" s="47"/>
      <c r="D121" s="36" t="s">
        <v>224</v>
      </c>
      <c r="E121" s="40">
        <f t="shared" si="11"/>
        <v>0</v>
      </c>
      <c r="F121" s="40">
        <f>F122</f>
        <v>0</v>
      </c>
      <c r="G121" s="40">
        <f>G122</f>
        <v>0</v>
      </c>
      <c r="H121" s="40">
        <f>H122</f>
        <v>0</v>
      </c>
      <c r="I121" s="40">
        <f>I122</f>
        <v>0</v>
      </c>
      <c r="J121" s="16">
        <f t="shared" si="13"/>
        <v>189906517</v>
      </c>
      <c r="K121" s="40">
        <f>K122</f>
        <v>189906517</v>
      </c>
      <c r="L121" s="40">
        <f>L122</f>
        <v>0</v>
      </c>
      <c r="M121" s="40">
        <f>M122</f>
        <v>0</v>
      </c>
      <c r="N121" s="40">
        <f>N122</f>
        <v>0</v>
      </c>
      <c r="O121" s="40">
        <f>O122</f>
        <v>189906517</v>
      </c>
      <c r="P121" s="23">
        <f t="shared" si="14"/>
        <v>189906517</v>
      </c>
    </row>
    <row r="122" spans="1:26" ht="67.150000000000006" customHeight="1" x14ac:dyDescent="0.2">
      <c r="A122" s="45">
        <v>1517367</v>
      </c>
      <c r="B122" s="45">
        <v>7367</v>
      </c>
      <c r="C122" s="47" t="s">
        <v>220</v>
      </c>
      <c r="D122" s="36" t="s">
        <v>337</v>
      </c>
      <c r="E122" s="40">
        <f t="shared" si="11"/>
        <v>0</v>
      </c>
      <c r="F122" s="40"/>
      <c r="G122" s="40"/>
      <c r="H122" s="40"/>
      <c r="I122" s="40"/>
      <c r="J122" s="16">
        <f t="shared" si="13"/>
        <v>189906517</v>
      </c>
      <c r="K122" s="76">
        <f>42363400+147543117</f>
        <v>189906517</v>
      </c>
      <c r="L122" s="40"/>
      <c r="M122" s="40"/>
      <c r="N122" s="40"/>
      <c r="O122" s="16">
        <f>K122</f>
        <v>189906517</v>
      </c>
      <c r="P122" s="23">
        <f t="shared" si="14"/>
        <v>189906517</v>
      </c>
    </row>
    <row r="123" spans="1:26" s="55" customFormat="1" ht="51" x14ac:dyDescent="0.2">
      <c r="A123" s="45">
        <v>1517460</v>
      </c>
      <c r="B123" s="45">
        <v>7460</v>
      </c>
      <c r="C123" s="47"/>
      <c r="D123" s="36" t="s">
        <v>311</v>
      </c>
      <c r="E123" s="40">
        <f t="shared" si="11"/>
        <v>0</v>
      </c>
      <c r="F123" s="40">
        <f>F125+F124</f>
        <v>0</v>
      </c>
      <c r="G123" s="40">
        <f>G125+G124</f>
        <v>0</v>
      </c>
      <c r="H123" s="40">
        <f>H125+H124</f>
        <v>0</v>
      </c>
      <c r="I123" s="40">
        <f>I125+I124</f>
        <v>0</v>
      </c>
      <c r="J123" s="16">
        <f t="shared" si="13"/>
        <v>541403545</v>
      </c>
      <c r="K123" s="40">
        <f>K125+K124</f>
        <v>0</v>
      </c>
      <c r="L123" s="40">
        <f>L125+L124</f>
        <v>443297745</v>
      </c>
      <c r="M123" s="40">
        <f>M125+M124</f>
        <v>0</v>
      </c>
      <c r="N123" s="40">
        <f>N125+N124</f>
        <v>0</v>
      </c>
      <c r="O123" s="40">
        <f>O125+O124</f>
        <v>98105800</v>
      </c>
      <c r="P123" s="23">
        <f t="shared" si="14"/>
        <v>541403545</v>
      </c>
      <c r="Q123" s="117"/>
      <c r="R123" s="117"/>
    </row>
    <row r="124" spans="1:26" s="100" customFormat="1" ht="53.45" customHeight="1" x14ac:dyDescent="0.3">
      <c r="A124" s="98">
        <v>1517461</v>
      </c>
      <c r="B124" s="98">
        <v>7461</v>
      </c>
      <c r="C124" s="98" t="s">
        <v>336</v>
      </c>
      <c r="D124" s="99" t="s">
        <v>355</v>
      </c>
      <c r="E124" s="97">
        <f t="shared" si="11"/>
        <v>0</v>
      </c>
      <c r="F124" s="97"/>
      <c r="G124" s="97"/>
      <c r="H124" s="97"/>
      <c r="I124" s="97"/>
      <c r="J124" s="76">
        <f t="shared" si="13"/>
        <v>197945</v>
      </c>
      <c r="K124" s="97"/>
      <c r="L124" s="97">
        <f>197945</f>
        <v>197945</v>
      </c>
      <c r="M124" s="97"/>
      <c r="N124" s="97"/>
      <c r="O124" s="76">
        <f>K124</f>
        <v>0</v>
      </c>
      <c r="P124" s="81">
        <f t="shared" si="14"/>
        <v>197945</v>
      </c>
      <c r="Q124" s="97">
        <f>F124+K124</f>
        <v>0</v>
      </c>
      <c r="R124" s="130"/>
      <c r="Y124" s="101"/>
      <c r="Z124" s="102"/>
    </row>
    <row r="125" spans="1:26" s="55" customFormat="1" ht="73.150000000000006" customHeight="1" x14ac:dyDescent="0.2">
      <c r="A125" s="45">
        <v>1517462</v>
      </c>
      <c r="B125" s="45">
        <v>7462</v>
      </c>
      <c r="C125" s="47" t="s">
        <v>336</v>
      </c>
      <c r="D125" s="36" t="s">
        <v>356</v>
      </c>
      <c r="E125" s="40">
        <f t="shared" si="11"/>
        <v>0</v>
      </c>
      <c r="F125" s="37"/>
      <c r="G125" s="37"/>
      <c r="H125" s="37"/>
      <c r="I125" s="37"/>
      <c r="J125" s="16">
        <f t="shared" si="13"/>
        <v>541205600</v>
      </c>
      <c r="K125" s="16"/>
      <c r="L125" s="96">
        <f>381338900+61760900</f>
        <v>443099800</v>
      </c>
      <c r="M125" s="37"/>
      <c r="N125" s="37"/>
      <c r="O125" s="76">
        <f>K125+186975400-88869600</f>
        <v>98105800</v>
      </c>
      <c r="P125" s="23">
        <f t="shared" si="14"/>
        <v>541205600</v>
      </c>
      <c r="Q125" s="117"/>
      <c r="R125" s="117"/>
    </row>
    <row r="126" spans="1:26" s="6" customFormat="1" ht="45" customHeight="1" x14ac:dyDescent="0.2">
      <c r="A126" s="3" t="s">
        <v>199</v>
      </c>
      <c r="B126" s="3"/>
      <c r="C126" s="3"/>
      <c r="D126" s="21" t="s">
        <v>38</v>
      </c>
      <c r="E126" s="23">
        <f t="shared" si="11"/>
        <v>583000</v>
      </c>
      <c r="F126" s="23">
        <f t="shared" ref="F126:O126" si="15">F127</f>
        <v>583000</v>
      </c>
      <c r="G126" s="23">
        <f t="shared" si="15"/>
        <v>0</v>
      </c>
      <c r="H126" s="23">
        <f t="shared" si="15"/>
        <v>0</v>
      </c>
      <c r="I126" s="23">
        <f t="shared" si="15"/>
        <v>0</v>
      </c>
      <c r="J126" s="16">
        <f t="shared" si="13"/>
        <v>0</v>
      </c>
      <c r="K126" s="23">
        <f t="shared" si="15"/>
        <v>0</v>
      </c>
      <c r="L126" s="23">
        <f t="shared" si="15"/>
        <v>0</v>
      </c>
      <c r="M126" s="23">
        <f t="shared" si="15"/>
        <v>0</v>
      </c>
      <c r="N126" s="23">
        <f t="shared" si="15"/>
        <v>0</v>
      </c>
      <c r="O126" s="23">
        <f t="shared" si="15"/>
        <v>0</v>
      </c>
      <c r="P126" s="23">
        <f t="shared" ref="P126:P140" si="16">E126+J126</f>
        <v>583000</v>
      </c>
      <c r="Q126" s="75"/>
      <c r="R126" s="75"/>
    </row>
    <row r="127" spans="1:26" s="6" customFormat="1" ht="46.15" customHeight="1" x14ac:dyDescent="0.2">
      <c r="A127" s="3" t="s">
        <v>200</v>
      </c>
      <c r="B127" s="3"/>
      <c r="C127" s="3"/>
      <c r="D127" s="21" t="s">
        <v>39</v>
      </c>
      <c r="E127" s="23">
        <f t="shared" si="11"/>
        <v>583000</v>
      </c>
      <c r="F127" s="23">
        <f>SUM(F128)</f>
        <v>583000</v>
      </c>
      <c r="G127" s="23">
        <f>SUM(G128)</f>
        <v>0</v>
      </c>
      <c r="H127" s="23">
        <f>SUM(H128)</f>
        <v>0</v>
      </c>
      <c r="I127" s="23">
        <f>SUM(I128)</f>
        <v>0</v>
      </c>
      <c r="J127" s="16">
        <f t="shared" si="13"/>
        <v>0</v>
      </c>
      <c r="K127" s="23">
        <f>SUM(K128)</f>
        <v>0</v>
      </c>
      <c r="L127" s="23">
        <f>SUM(L128)</f>
        <v>0</v>
      </c>
      <c r="M127" s="23">
        <f>SUM(M128)</f>
        <v>0</v>
      </c>
      <c r="N127" s="23">
        <f>SUM(N128)</f>
        <v>0</v>
      </c>
      <c r="O127" s="23">
        <f>SUM(O128)</f>
        <v>0</v>
      </c>
      <c r="P127" s="23">
        <f t="shared" si="16"/>
        <v>583000</v>
      </c>
      <c r="Q127" s="75"/>
      <c r="R127" s="75"/>
    </row>
    <row r="128" spans="1:26" ht="25.5" x14ac:dyDescent="0.2">
      <c r="A128" s="5" t="s">
        <v>201</v>
      </c>
      <c r="B128" s="5" t="s">
        <v>195</v>
      </c>
      <c r="C128" s="5" t="s">
        <v>202</v>
      </c>
      <c r="D128" s="18" t="s">
        <v>194</v>
      </c>
      <c r="E128" s="16">
        <f t="shared" si="11"/>
        <v>583000</v>
      </c>
      <c r="F128" s="52">
        <v>583000</v>
      </c>
      <c r="G128" s="16"/>
      <c r="H128" s="16"/>
      <c r="I128" s="11"/>
      <c r="J128" s="16">
        <f t="shared" si="13"/>
        <v>0</v>
      </c>
      <c r="K128" s="16"/>
      <c r="L128" s="16"/>
      <c r="M128" s="16"/>
      <c r="N128" s="16"/>
      <c r="O128" s="28">
        <f>K128</f>
        <v>0</v>
      </c>
      <c r="P128" s="23">
        <f t="shared" si="16"/>
        <v>583000</v>
      </c>
    </row>
    <row r="129" spans="1:26" s="73" customFormat="1" ht="38.450000000000003" customHeight="1" x14ac:dyDescent="0.2">
      <c r="A129" s="103">
        <v>2400000</v>
      </c>
      <c r="B129" s="103"/>
      <c r="C129" s="104"/>
      <c r="D129" s="105" t="s">
        <v>405</v>
      </c>
      <c r="E129" s="81">
        <f t="shared" si="11"/>
        <v>5000000</v>
      </c>
      <c r="F129" s="106">
        <f>F130</f>
        <v>5000000</v>
      </c>
      <c r="G129" s="106">
        <f>G130</f>
        <v>0</v>
      </c>
      <c r="H129" s="106">
        <f>H130</f>
        <v>0</v>
      </c>
      <c r="I129" s="106">
        <f>I130</f>
        <v>0</v>
      </c>
      <c r="J129" s="76">
        <f t="shared" si="13"/>
        <v>20420</v>
      </c>
      <c r="K129" s="106">
        <f>K130</f>
        <v>0</v>
      </c>
      <c r="L129" s="106">
        <f>L130</f>
        <v>20420</v>
      </c>
      <c r="M129" s="106">
        <f>M130</f>
        <v>0</v>
      </c>
      <c r="N129" s="106">
        <f>N130</f>
        <v>0</v>
      </c>
      <c r="O129" s="106">
        <f>O130</f>
        <v>0</v>
      </c>
      <c r="P129" s="81">
        <f t="shared" si="16"/>
        <v>5020420</v>
      </c>
      <c r="Q129" s="90"/>
      <c r="R129" s="90"/>
      <c r="S129" s="90"/>
      <c r="T129" s="91">
        <v>86809660</v>
      </c>
      <c r="U129" s="92">
        <f>P129-T129</f>
        <v>-81789240</v>
      </c>
      <c r="V129" s="92"/>
      <c r="X129" s="92"/>
      <c r="Y129" s="107">
        <v>10830000</v>
      </c>
      <c r="Z129" s="108">
        <f>P129-Y129</f>
        <v>-5809580</v>
      </c>
    </row>
    <row r="130" spans="1:26" s="73" customFormat="1" ht="39.6" customHeight="1" x14ac:dyDescent="0.2">
      <c r="A130" s="103">
        <v>2410000</v>
      </c>
      <c r="B130" s="103"/>
      <c r="C130" s="104"/>
      <c r="D130" s="105" t="s">
        <v>359</v>
      </c>
      <c r="E130" s="81">
        <f t="shared" si="11"/>
        <v>5000000</v>
      </c>
      <c r="F130" s="106">
        <f>F131+F132</f>
        <v>5000000</v>
      </c>
      <c r="G130" s="106">
        <f>G131+G132</f>
        <v>0</v>
      </c>
      <c r="H130" s="106">
        <f>H131+H132</f>
        <v>0</v>
      </c>
      <c r="I130" s="106">
        <f>I131+I132</f>
        <v>0</v>
      </c>
      <c r="J130" s="76">
        <f t="shared" si="13"/>
        <v>20420</v>
      </c>
      <c r="K130" s="106">
        <f>K131+K132</f>
        <v>0</v>
      </c>
      <c r="L130" s="106">
        <f>L131+L132</f>
        <v>20420</v>
      </c>
      <c r="M130" s="106">
        <f>M131+M132</f>
        <v>0</v>
      </c>
      <c r="N130" s="106">
        <f>N131+N132</f>
        <v>0</v>
      </c>
      <c r="O130" s="106">
        <f>O131+O132</f>
        <v>0</v>
      </c>
      <c r="P130" s="81">
        <f t="shared" si="16"/>
        <v>5020420</v>
      </c>
      <c r="Q130" s="90"/>
      <c r="R130" s="90"/>
      <c r="S130" s="90"/>
      <c r="T130" s="91"/>
      <c r="U130" s="92">
        <f>P130-T130</f>
        <v>5020420</v>
      </c>
      <c r="V130" s="92"/>
      <c r="X130" s="92"/>
      <c r="Y130" s="107"/>
      <c r="Z130" s="108"/>
    </row>
    <row r="131" spans="1:26" s="72" customFormat="1" ht="34.9" customHeight="1" x14ac:dyDescent="0.2">
      <c r="A131" s="98">
        <v>2417110</v>
      </c>
      <c r="B131" s="98">
        <v>7110</v>
      </c>
      <c r="C131" s="109" t="s">
        <v>357</v>
      </c>
      <c r="D131" s="99" t="s">
        <v>358</v>
      </c>
      <c r="E131" s="76">
        <f t="shared" si="11"/>
        <v>5000000</v>
      </c>
      <c r="F131" s="97">
        <v>5000000</v>
      </c>
      <c r="G131" s="97"/>
      <c r="H131" s="97"/>
      <c r="I131" s="106"/>
      <c r="J131" s="76">
        <f t="shared" si="13"/>
        <v>0</v>
      </c>
      <c r="K131" s="97"/>
      <c r="L131" s="97"/>
      <c r="M131" s="97"/>
      <c r="N131" s="97"/>
      <c r="O131" s="97"/>
      <c r="P131" s="81">
        <f t="shared" si="16"/>
        <v>5000000</v>
      </c>
      <c r="Q131" s="90"/>
      <c r="R131" s="90"/>
      <c r="S131" s="90"/>
      <c r="T131" s="91"/>
      <c r="U131" s="92">
        <f>P131-T131</f>
        <v>5000000</v>
      </c>
      <c r="V131" s="92"/>
      <c r="X131" s="92"/>
      <c r="Y131" s="93"/>
      <c r="Z131" s="94"/>
    </row>
    <row r="132" spans="1:26" s="72" customFormat="1" ht="49.15" customHeight="1" x14ac:dyDescent="0.2">
      <c r="A132" s="98">
        <v>2418340</v>
      </c>
      <c r="B132" s="98">
        <v>8340</v>
      </c>
      <c r="C132" s="109" t="s">
        <v>16</v>
      </c>
      <c r="D132" s="99" t="s">
        <v>144</v>
      </c>
      <c r="E132" s="76">
        <f t="shared" si="11"/>
        <v>0</v>
      </c>
      <c r="F132" s="97"/>
      <c r="G132" s="97"/>
      <c r="H132" s="97"/>
      <c r="I132" s="106"/>
      <c r="J132" s="76">
        <f t="shared" si="13"/>
        <v>20420</v>
      </c>
      <c r="K132" s="97"/>
      <c r="L132" s="97">
        <f>20420</f>
        <v>20420</v>
      </c>
      <c r="M132" s="97"/>
      <c r="N132" s="97"/>
      <c r="O132" s="97"/>
      <c r="P132" s="81">
        <f t="shared" si="16"/>
        <v>20420</v>
      </c>
      <c r="Q132" s="90"/>
      <c r="R132" s="90"/>
      <c r="S132" s="90"/>
      <c r="T132" s="91"/>
      <c r="U132" s="92">
        <f>P132-T132</f>
        <v>20420</v>
      </c>
      <c r="V132" s="92"/>
      <c r="X132" s="92"/>
      <c r="Y132" s="93"/>
      <c r="Z132" s="94"/>
    </row>
    <row r="133" spans="1:26" ht="38.25" x14ac:dyDescent="0.2">
      <c r="A133" s="65">
        <v>2700000</v>
      </c>
      <c r="B133" s="3"/>
      <c r="C133" s="3"/>
      <c r="D133" s="21" t="s">
        <v>324</v>
      </c>
      <c r="E133" s="23">
        <f t="shared" si="11"/>
        <v>980000</v>
      </c>
      <c r="F133" s="23">
        <f t="shared" ref="F133:K133" si="17">F134</f>
        <v>980000</v>
      </c>
      <c r="G133" s="23">
        <f t="shared" si="17"/>
        <v>0</v>
      </c>
      <c r="H133" s="23">
        <f t="shared" si="17"/>
        <v>0</v>
      </c>
      <c r="I133" s="23">
        <f t="shared" si="17"/>
        <v>0</v>
      </c>
      <c r="J133" s="76">
        <f t="shared" si="13"/>
        <v>1033078</v>
      </c>
      <c r="K133" s="23">
        <f t="shared" si="17"/>
        <v>400000</v>
      </c>
      <c r="L133" s="23">
        <f>L134</f>
        <v>633078</v>
      </c>
      <c r="M133" s="23">
        <f>M134</f>
        <v>0</v>
      </c>
      <c r="N133" s="23">
        <f>N134</f>
        <v>0</v>
      </c>
      <c r="O133" s="23">
        <f>O134</f>
        <v>400000</v>
      </c>
      <c r="P133" s="23">
        <f t="shared" si="16"/>
        <v>2013078</v>
      </c>
      <c r="Q133" s="84">
        <v>130000</v>
      </c>
      <c r="R133" s="84">
        <f>P133-Q133</f>
        <v>1883078</v>
      </c>
    </row>
    <row r="134" spans="1:26" ht="38.25" x14ac:dyDescent="0.2">
      <c r="A134" s="65">
        <v>2710000</v>
      </c>
      <c r="B134" s="3"/>
      <c r="C134" s="3"/>
      <c r="D134" s="21" t="s">
        <v>325</v>
      </c>
      <c r="E134" s="23">
        <f t="shared" si="11"/>
        <v>980000</v>
      </c>
      <c r="F134" s="23">
        <f>F138+F136+F139+F140+F135</f>
        <v>980000</v>
      </c>
      <c r="G134" s="23">
        <f>G138+G136+G139+G140+G135</f>
        <v>0</v>
      </c>
      <c r="H134" s="23">
        <f>H138+H136+H139+H140+H135</f>
        <v>0</v>
      </c>
      <c r="I134" s="23">
        <f>I138+I136+I139+I140+I135</f>
        <v>0</v>
      </c>
      <c r="J134" s="76">
        <f t="shared" si="13"/>
        <v>1033078</v>
      </c>
      <c r="K134" s="23">
        <f>K138+K136+K139+K140+K135</f>
        <v>400000</v>
      </c>
      <c r="L134" s="23">
        <f>L138+L136+L139+L140+L135</f>
        <v>633078</v>
      </c>
      <c r="M134" s="23">
        <f>M138+M136+M139+M140+M135</f>
        <v>0</v>
      </c>
      <c r="N134" s="23">
        <f>N138+N136+N139+N140+N135</f>
        <v>0</v>
      </c>
      <c r="O134" s="23">
        <f>O138+O136+O139+O140+O135</f>
        <v>400000</v>
      </c>
      <c r="P134" s="23">
        <f t="shared" si="16"/>
        <v>2013078</v>
      </c>
      <c r="Q134" s="84">
        <v>130000</v>
      </c>
      <c r="R134" s="84">
        <f>E133-Q134</f>
        <v>850000</v>
      </c>
    </row>
    <row r="135" spans="1:26" s="72" customFormat="1" ht="33" customHeight="1" x14ac:dyDescent="0.2">
      <c r="A135" s="98">
        <v>2717430</v>
      </c>
      <c r="B135" s="88" t="s">
        <v>395</v>
      </c>
      <c r="C135" s="88" t="s">
        <v>396</v>
      </c>
      <c r="D135" s="111" t="s">
        <v>397</v>
      </c>
      <c r="E135" s="76">
        <f t="shared" si="11"/>
        <v>150000</v>
      </c>
      <c r="F135" s="76">
        <f>150000</f>
        <v>150000</v>
      </c>
      <c r="G135" s="76"/>
      <c r="H135" s="76"/>
      <c r="I135" s="76"/>
      <c r="J135" s="76">
        <f t="shared" si="13"/>
        <v>400000</v>
      </c>
      <c r="K135" s="76">
        <f>400000</f>
        <v>400000</v>
      </c>
      <c r="L135" s="76"/>
      <c r="M135" s="76"/>
      <c r="N135" s="76"/>
      <c r="O135" s="76">
        <f>K135</f>
        <v>400000</v>
      </c>
      <c r="P135" s="81">
        <f t="shared" si="16"/>
        <v>550000</v>
      </c>
      <c r="Q135" s="112"/>
      <c r="R135" s="110">
        <f>J133-Q135</f>
        <v>1033078</v>
      </c>
      <c r="S135" s="112"/>
      <c r="T135" s="91"/>
      <c r="U135" s="92">
        <f>P135-T135</f>
        <v>550000</v>
      </c>
      <c r="V135" s="91"/>
      <c r="X135" s="91"/>
      <c r="Y135" s="93"/>
      <c r="Z135" s="94"/>
    </row>
    <row r="136" spans="1:26" ht="25.5" x14ac:dyDescent="0.2">
      <c r="A136" s="66">
        <v>2717460</v>
      </c>
      <c r="B136" s="5" t="s">
        <v>360</v>
      </c>
      <c r="C136" s="5"/>
      <c r="D136" s="19" t="s">
        <v>361</v>
      </c>
      <c r="E136" s="16">
        <f t="shared" si="11"/>
        <v>0</v>
      </c>
      <c r="F136" s="16">
        <f>F137</f>
        <v>0</v>
      </c>
      <c r="G136" s="16">
        <f>G137</f>
        <v>0</v>
      </c>
      <c r="H136" s="16">
        <f>H137</f>
        <v>0</v>
      </c>
      <c r="I136" s="16">
        <f>I137</f>
        <v>0</v>
      </c>
      <c r="J136" s="76">
        <f t="shared" si="13"/>
        <v>633078</v>
      </c>
      <c r="K136" s="16">
        <f>K137</f>
        <v>0</v>
      </c>
      <c r="L136" s="16">
        <f>L137</f>
        <v>633078</v>
      </c>
      <c r="M136" s="16">
        <f>M137</f>
        <v>0</v>
      </c>
      <c r="N136" s="16">
        <f>N137</f>
        <v>0</v>
      </c>
      <c r="O136" s="16">
        <f>O137</f>
        <v>0</v>
      </c>
      <c r="P136" s="23">
        <f t="shared" si="16"/>
        <v>633078</v>
      </c>
      <c r="Q136" s="110"/>
      <c r="R136" s="110"/>
      <c r="S136" s="110"/>
      <c r="T136" s="84"/>
      <c r="U136" s="75"/>
      <c r="V136" s="84"/>
      <c r="X136" s="84"/>
      <c r="Y136" s="85"/>
      <c r="Z136" s="86"/>
    </row>
    <row r="137" spans="1:26" s="72" customFormat="1" ht="133.15" customHeight="1" x14ac:dyDescent="0.2">
      <c r="A137" s="98">
        <v>2717464</v>
      </c>
      <c r="B137" s="88" t="s">
        <v>362</v>
      </c>
      <c r="C137" s="88" t="s">
        <v>336</v>
      </c>
      <c r="D137" s="111" t="s">
        <v>363</v>
      </c>
      <c r="E137" s="76">
        <f t="shared" si="11"/>
        <v>0</v>
      </c>
      <c r="F137" s="76"/>
      <c r="G137" s="76"/>
      <c r="H137" s="76"/>
      <c r="I137" s="76"/>
      <c r="J137" s="76">
        <f t="shared" si="13"/>
        <v>633078</v>
      </c>
      <c r="K137" s="76"/>
      <c r="L137" s="76">
        <v>633078</v>
      </c>
      <c r="M137" s="76"/>
      <c r="N137" s="76"/>
      <c r="O137" s="76"/>
      <c r="P137" s="81">
        <f t="shared" si="16"/>
        <v>633078</v>
      </c>
      <c r="Q137" s="112"/>
      <c r="R137" s="112"/>
      <c r="S137" s="112"/>
      <c r="T137" s="91"/>
      <c r="U137" s="92"/>
      <c r="V137" s="91"/>
      <c r="X137" s="91"/>
      <c r="Y137" s="93"/>
      <c r="Z137" s="94"/>
    </row>
    <row r="138" spans="1:26" ht="33" customHeight="1" x14ac:dyDescent="0.2">
      <c r="A138" s="66">
        <v>2717630</v>
      </c>
      <c r="B138" s="5" t="s">
        <v>326</v>
      </c>
      <c r="C138" s="5" t="s">
        <v>327</v>
      </c>
      <c r="D138" s="18" t="s">
        <v>328</v>
      </c>
      <c r="E138" s="16">
        <f t="shared" si="11"/>
        <v>130000</v>
      </c>
      <c r="F138" s="16">
        <v>130000</v>
      </c>
      <c r="G138" s="16"/>
      <c r="H138" s="16"/>
      <c r="I138" s="11"/>
      <c r="J138" s="16">
        <f>K138+N138</f>
        <v>0</v>
      </c>
      <c r="K138" s="16"/>
      <c r="L138" s="23"/>
      <c r="M138" s="16"/>
      <c r="N138" s="16"/>
      <c r="O138" s="16">
        <f>K138</f>
        <v>0</v>
      </c>
      <c r="P138" s="23">
        <f t="shared" si="16"/>
        <v>130000</v>
      </c>
    </row>
    <row r="139" spans="1:26" s="72" customFormat="1" ht="18" customHeight="1" x14ac:dyDescent="0.2">
      <c r="A139" s="98">
        <v>2717640</v>
      </c>
      <c r="B139" s="88" t="s">
        <v>364</v>
      </c>
      <c r="C139" s="88" t="s">
        <v>327</v>
      </c>
      <c r="D139" s="113" t="s">
        <v>365</v>
      </c>
      <c r="E139" s="76">
        <f t="shared" si="11"/>
        <v>200000</v>
      </c>
      <c r="F139" s="76">
        <v>200000</v>
      </c>
      <c r="G139" s="76"/>
      <c r="H139" s="76"/>
      <c r="I139" s="114"/>
      <c r="J139" s="76">
        <f>K139+N139</f>
        <v>0</v>
      </c>
      <c r="K139" s="76"/>
      <c r="L139" s="81"/>
      <c r="M139" s="76"/>
      <c r="N139" s="76"/>
      <c r="O139" s="76"/>
      <c r="P139" s="81">
        <f t="shared" si="16"/>
        <v>200000</v>
      </c>
      <c r="Q139" s="90"/>
      <c r="R139" s="90"/>
      <c r="S139" s="90"/>
      <c r="T139" s="91"/>
      <c r="U139" s="92">
        <f>P139-T139</f>
        <v>200000</v>
      </c>
      <c r="V139" s="92"/>
      <c r="X139" s="92"/>
      <c r="Y139" s="93"/>
      <c r="Z139" s="94"/>
    </row>
    <row r="140" spans="1:26" s="72" customFormat="1" ht="28.15" customHeight="1" x14ac:dyDescent="0.2">
      <c r="A140" s="98">
        <v>2717693</v>
      </c>
      <c r="B140" s="88" t="s">
        <v>366</v>
      </c>
      <c r="C140" s="88" t="s">
        <v>220</v>
      </c>
      <c r="D140" s="113" t="s">
        <v>367</v>
      </c>
      <c r="E140" s="76">
        <f t="shared" si="11"/>
        <v>500000</v>
      </c>
      <c r="F140" s="76">
        <f>500000</f>
        <v>500000</v>
      </c>
      <c r="G140" s="76"/>
      <c r="H140" s="76"/>
      <c r="I140" s="114"/>
      <c r="J140" s="76">
        <f>K140+N140</f>
        <v>0</v>
      </c>
      <c r="K140" s="76"/>
      <c r="L140" s="81"/>
      <c r="M140" s="76"/>
      <c r="N140" s="76"/>
      <c r="O140" s="76"/>
      <c r="P140" s="81">
        <f t="shared" si="16"/>
        <v>500000</v>
      </c>
      <c r="Q140" s="90"/>
      <c r="R140" s="90"/>
      <c r="S140" s="90"/>
      <c r="T140" s="91"/>
      <c r="U140" s="92"/>
      <c r="V140" s="92"/>
      <c r="X140" s="92"/>
      <c r="Y140" s="93"/>
      <c r="Z140" s="94"/>
    </row>
    <row r="141" spans="1:26" ht="38.25" x14ac:dyDescent="0.2">
      <c r="A141" s="1">
        <v>3700000</v>
      </c>
      <c r="B141" s="1"/>
      <c r="C141" s="1"/>
      <c r="D141" s="21" t="s">
        <v>91</v>
      </c>
      <c r="E141" s="23">
        <f t="shared" ref="E141:E152" si="18">F141+I141</f>
        <v>4366721062</v>
      </c>
      <c r="F141" s="23">
        <f>SUM(F142)</f>
        <v>4341042962</v>
      </c>
      <c r="G141" s="23">
        <f t="shared" ref="G141:O141" si="19">SUM(G142)</f>
        <v>0</v>
      </c>
      <c r="H141" s="23">
        <f t="shared" si="19"/>
        <v>0</v>
      </c>
      <c r="I141" s="23">
        <f t="shared" si="19"/>
        <v>25678100</v>
      </c>
      <c r="J141" s="23">
        <f t="shared" si="13"/>
        <v>131432214</v>
      </c>
      <c r="K141" s="23">
        <f t="shared" si="19"/>
        <v>94769490</v>
      </c>
      <c r="L141" s="23">
        <f t="shared" si="19"/>
        <v>12329500</v>
      </c>
      <c r="M141" s="23">
        <f t="shared" si="19"/>
        <v>0</v>
      </c>
      <c r="N141" s="23">
        <f t="shared" si="19"/>
        <v>0</v>
      </c>
      <c r="O141" s="23">
        <f t="shared" si="19"/>
        <v>119102714</v>
      </c>
      <c r="P141" s="23">
        <f t="shared" si="14"/>
        <v>4498153276</v>
      </c>
      <c r="Q141" s="84">
        <v>4352226146</v>
      </c>
      <c r="R141" s="84">
        <f>P141-Q141</f>
        <v>145927130</v>
      </c>
    </row>
    <row r="142" spans="1:26" ht="30.6" customHeight="1" x14ac:dyDescent="0.2">
      <c r="A142" s="1">
        <v>3710000</v>
      </c>
      <c r="B142" s="1"/>
      <c r="C142" s="1"/>
      <c r="D142" s="21" t="s">
        <v>98</v>
      </c>
      <c r="E142" s="23">
        <f t="shared" si="18"/>
        <v>4366721062</v>
      </c>
      <c r="F142" s="23">
        <f>F143+F181</f>
        <v>4341042962</v>
      </c>
      <c r="G142" s="23">
        <f>G143+G181</f>
        <v>0</v>
      </c>
      <c r="H142" s="23">
        <f>H143+H181</f>
        <v>0</v>
      </c>
      <c r="I142" s="23">
        <f>I143+I181</f>
        <v>25678100</v>
      </c>
      <c r="J142" s="23">
        <f t="shared" ref="J142:J182" si="20">L142+O142</f>
        <v>131432214</v>
      </c>
      <c r="K142" s="23">
        <f>K143+K181</f>
        <v>94769490</v>
      </c>
      <c r="L142" s="23">
        <f>L143+L181</f>
        <v>12329500</v>
      </c>
      <c r="M142" s="23">
        <f>M143+M181</f>
        <v>0</v>
      </c>
      <c r="N142" s="23">
        <f>N143+N181</f>
        <v>0</v>
      </c>
      <c r="O142" s="23">
        <f>O143+O181</f>
        <v>119102714</v>
      </c>
      <c r="P142" s="23">
        <f t="shared" si="14"/>
        <v>4498153276</v>
      </c>
      <c r="Q142" s="84">
        <v>4352200146</v>
      </c>
      <c r="R142" s="84">
        <f>E141-Q142</f>
        <v>14520916</v>
      </c>
    </row>
    <row r="143" spans="1:26" s="6" customFormat="1" ht="21" customHeight="1" x14ac:dyDescent="0.2">
      <c r="A143" s="1">
        <v>3719000</v>
      </c>
      <c r="B143" s="1">
        <v>9000</v>
      </c>
      <c r="C143" s="1"/>
      <c r="D143" s="21" t="s">
        <v>222</v>
      </c>
      <c r="E143" s="23">
        <f t="shared" si="18"/>
        <v>4365221062</v>
      </c>
      <c r="F143" s="23">
        <f>F144+F146+F152+F161+F167+F169+F172</f>
        <v>4339542962</v>
      </c>
      <c r="G143" s="23">
        <f>G144+G146+G152+G161+G167+G169+G172</f>
        <v>0</v>
      </c>
      <c r="H143" s="23">
        <f>H144+H146+H152+H161+H167+H169+H172</f>
        <v>0</v>
      </c>
      <c r="I143" s="23">
        <f>I144+I146+I152+I161+I167+I169+I172</f>
        <v>25678100</v>
      </c>
      <c r="J143" s="23">
        <f t="shared" si="20"/>
        <v>131432214</v>
      </c>
      <c r="K143" s="23">
        <f>K144+K146+K152+K161+K167+K169+K172</f>
        <v>94769490</v>
      </c>
      <c r="L143" s="23">
        <f>L144+L146+L152+L161+L167+L169+L172</f>
        <v>12329500</v>
      </c>
      <c r="M143" s="23">
        <f>M144+M146+M152+M161+M167+M169+M172</f>
        <v>0</v>
      </c>
      <c r="N143" s="23">
        <f>N144+N146+N152+N161+N167+N169+N172</f>
        <v>0</v>
      </c>
      <c r="O143" s="23">
        <f>O144+O146+O152+O161+O167+O169+O172</f>
        <v>119102714</v>
      </c>
      <c r="P143" s="23">
        <f t="shared" si="14"/>
        <v>4496653276</v>
      </c>
      <c r="Q143" s="75">
        <v>26000</v>
      </c>
      <c r="R143" s="75">
        <f>J141-Q143</f>
        <v>131406214</v>
      </c>
    </row>
    <row r="144" spans="1:26" s="6" customFormat="1" ht="28.15" customHeight="1" x14ac:dyDescent="0.2">
      <c r="A144" s="1">
        <v>3719100</v>
      </c>
      <c r="B144" s="1">
        <v>9100</v>
      </c>
      <c r="C144" s="1"/>
      <c r="D144" s="21" t="s">
        <v>221</v>
      </c>
      <c r="E144" s="23">
        <f t="shared" si="18"/>
        <v>358554200</v>
      </c>
      <c r="F144" s="23">
        <f>F145</f>
        <v>358554200</v>
      </c>
      <c r="G144" s="23">
        <f>G145</f>
        <v>0</v>
      </c>
      <c r="H144" s="23">
        <f>H145</f>
        <v>0</v>
      </c>
      <c r="I144" s="23">
        <f>I145</f>
        <v>0</v>
      </c>
      <c r="J144" s="23">
        <f t="shared" si="20"/>
        <v>0</v>
      </c>
      <c r="K144" s="23">
        <f>K145</f>
        <v>0</v>
      </c>
      <c r="L144" s="23">
        <f>L145</f>
        <v>0</v>
      </c>
      <c r="M144" s="23">
        <f>M145</f>
        <v>0</v>
      </c>
      <c r="N144" s="23">
        <f>N145</f>
        <v>0</v>
      </c>
      <c r="O144" s="23">
        <f>O145</f>
        <v>0</v>
      </c>
      <c r="P144" s="23">
        <f t="shared" si="14"/>
        <v>358554200</v>
      </c>
      <c r="Q144" s="75"/>
      <c r="R144" s="75"/>
    </row>
    <row r="145" spans="1:25" ht="83.45" customHeight="1" x14ac:dyDescent="0.2">
      <c r="A145" s="5" t="s">
        <v>146</v>
      </c>
      <c r="B145" s="5" t="s">
        <v>126</v>
      </c>
      <c r="C145" s="5" t="s">
        <v>47</v>
      </c>
      <c r="D145" s="20" t="s">
        <v>338</v>
      </c>
      <c r="E145" s="16">
        <f t="shared" si="18"/>
        <v>358554200</v>
      </c>
      <c r="F145" s="16">
        <v>358554200</v>
      </c>
      <c r="G145" s="23"/>
      <c r="H145" s="23"/>
      <c r="I145" s="23"/>
      <c r="J145" s="16">
        <f t="shared" si="20"/>
        <v>0</v>
      </c>
      <c r="K145" s="16"/>
      <c r="L145" s="23"/>
      <c r="M145" s="23"/>
      <c r="N145" s="23"/>
      <c r="O145" s="16">
        <f>K145</f>
        <v>0</v>
      </c>
      <c r="P145" s="23">
        <f t="shared" si="14"/>
        <v>358554200</v>
      </c>
      <c r="Q145" s="84">
        <f t="shared" ref="Q145:Y145" si="21">J152+J161+J167+J169+J172</f>
        <v>131432214</v>
      </c>
      <c r="R145" s="84">
        <f t="shared" si="21"/>
        <v>94769490</v>
      </c>
      <c r="S145" s="84">
        <f t="shared" si="21"/>
        <v>12329500</v>
      </c>
      <c r="T145" s="84">
        <f t="shared" si="21"/>
        <v>0</v>
      </c>
      <c r="U145" s="84">
        <f t="shared" si="21"/>
        <v>0</v>
      </c>
      <c r="V145" s="84">
        <f t="shared" si="21"/>
        <v>119102714</v>
      </c>
      <c r="W145" s="84">
        <f t="shared" si="21"/>
        <v>229769776</v>
      </c>
      <c r="X145" s="84">
        <f t="shared" si="21"/>
        <v>0</v>
      </c>
      <c r="Y145" s="84">
        <f t="shared" si="21"/>
        <v>0</v>
      </c>
    </row>
    <row r="146" spans="1:25" s="6" customFormat="1" ht="63" customHeight="1" x14ac:dyDescent="0.2">
      <c r="A146" s="3" t="s">
        <v>209</v>
      </c>
      <c r="B146" s="3" t="s">
        <v>210</v>
      </c>
      <c r="C146" s="3"/>
      <c r="D146" s="22" t="s">
        <v>208</v>
      </c>
      <c r="E146" s="23">
        <f t="shared" si="18"/>
        <v>3908329300</v>
      </c>
      <c r="F146" s="23">
        <f>F147+F148+F149+F151+F150</f>
        <v>3882732200</v>
      </c>
      <c r="G146" s="23">
        <f>G147+G148+G149+G151+G150</f>
        <v>0</v>
      </c>
      <c r="H146" s="23">
        <f>H147+H148+H149+H151+H150</f>
        <v>0</v>
      </c>
      <c r="I146" s="23">
        <f>I147+I148+I149+I151+I150</f>
        <v>25597100</v>
      </c>
      <c r="J146" s="16">
        <f t="shared" si="20"/>
        <v>0</v>
      </c>
      <c r="K146" s="23">
        <f>K147+K148+K149+K151+K150</f>
        <v>0</v>
      </c>
      <c r="L146" s="23">
        <f>L147+L148+L149+L151+L150</f>
        <v>0</v>
      </c>
      <c r="M146" s="23">
        <f>M147+M148+M149+M151+M150</f>
        <v>0</v>
      </c>
      <c r="N146" s="23">
        <f>N147+N148+N149+N151+N150</f>
        <v>0</v>
      </c>
      <c r="O146" s="23">
        <f>O147+O148+O149+O151+O150</f>
        <v>0</v>
      </c>
      <c r="P146" s="23">
        <f t="shared" si="14"/>
        <v>3908329300</v>
      </c>
      <c r="Q146" s="75"/>
      <c r="R146" s="75"/>
    </row>
    <row r="147" spans="1:25" s="72" customFormat="1" ht="268.89999999999998" customHeight="1" x14ac:dyDescent="0.2">
      <c r="A147" s="5" t="s">
        <v>148</v>
      </c>
      <c r="B147" s="5" t="s">
        <v>120</v>
      </c>
      <c r="C147" s="5" t="s">
        <v>47</v>
      </c>
      <c r="D147" s="19" t="s">
        <v>342</v>
      </c>
      <c r="E147" s="16">
        <f t="shared" si="18"/>
        <v>1562713200</v>
      </c>
      <c r="F147" s="16">
        <v>1562713200</v>
      </c>
      <c r="G147" s="16"/>
      <c r="H147" s="16"/>
      <c r="I147" s="11"/>
      <c r="J147" s="16">
        <f t="shared" si="20"/>
        <v>0</v>
      </c>
      <c r="K147" s="16"/>
      <c r="L147" s="16"/>
      <c r="M147" s="16"/>
      <c r="N147" s="16"/>
      <c r="O147" s="16">
        <f>K147</f>
        <v>0</v>
      </c>
      <c r="P147" s="23">
        <f t="shared" si="14"/>
        <v>1562713200</v>
      </c>
      <c r="Q147" s="91"/>
      <c r="R147" s="91"/>
    </row>
    <row r="148" spans="1:25" ht="93" customHeight="1" x14ac:dyDescent="0.2">
      <c r="A148" s="5" t="s">
        <v>149</v>
      </c>
      <c r="B148" s="5" t="s">
        <v>122</v>
      </c>
      <c r="C148" s="5" t="s">
        <v>47</v>
      </c>
      <c r="D148" s="19" t="s">
        <v>121</v>
      </c>
      <c r="E148" s="16">
        <f t="shared" si="18"/>
        <v>112560900</v>
      </c>
      <c r="F148" s="16">
        <v>112560900</v>
      </c>
      <c r="G148" s="16"/>
      <c r="H148" s="16"/>
      <c r="I148" s="11"/>
      <c r="J148" s="16">
        <f t="shared" si="20"/>
        <v>0</v>
      </c>
      <c r="K148" s="16"/>
      <c r="L148" s="16"/>
      <c r="M148" s="16"/>
      <c r="N148" s="16"/>
      <c r="O148" s="16">
        <f>K148</f>
        <v>0</v>
      </c>
      <c r="P148" s="23">
        <f t="shared" si="14"/>
        <v>112560900</v>
      </c>
    </row>
    <row r="149" spans="1:25" ht="260.45" customHeight="1" x14ac:dyDescent="0.2">
      <c r="A149" s="5" t="s">
        <v>147</v>
      </c>
      <c r="B149" s="5" t="s">
        <v>123</v>
      </c>
      <c r="C149" s="5" t="s">
        <v>47</v>
      </c>
      <c r="D149" s="20" t="s">
        <v>206</v>
      </c>
      <c r="E149" s="16">
        <f t="shared" si="18"/>
        <v>2179375500</v>
      </c>
      <c r="F149" s="16">
        <v>2179375500</v>
      </c>
      <c r="G149" s="16"/>
      <c r="H149" s="16"/>
      <c r="I149" s="11"/>
      <c r="J149" s="16">
        <f t="shared" si="20"/>
        <v>0</v>
      </c>
      <c r="K149" s="16"/>
      <c r="L149" s="16"/>
      <c r="M149" s="16"/>
      <c r="N149" s="16"/>
      <c r="O149" s="16">
        <f>K149</f>
        <v>0</v>
      </c>
      <c r="P149" s="23">
        <f>E149+J149</f>
        <v>2179375500</v>
      </c>
    </row>
    <row r="150" spans="1:25" s="73" customFormat="1" ht="221.45" customHeight="1" x14ac:dyDescent="0.2">
      <c r="A150" s="5" t="s">
        <v>150</v>
      </c>
      <c r="B150" s="5" t="s">
        <v>124</v>
      </c>
      <c r="C150" s="5" t="s">
        <v>47</v>
      </c>
      <c r="D150" s="20" t="s">
        <v>343</v>
      </c>
      <c r="E150" s="16">
        <f t="shared" si="18"/>
        <v>28082600</v>
      </c>
      <c r="F150" s="16">
        <v>28082600</v>
      </c>
      <c r="G150" s="16"/>
      <c r="H150" s="16"/>
      <c r="I150" s="11"/>
      <c r="J150" s="16">
        <f t="shared" si="20"/>
        <v>0</v>
      </c>
      <c r="K150" s="16"/>
      <c r="L150" s="16"/>
      <c r="M150" s="16"/>
      <c r="N150" s="16"/>
      <c r="O150" s="16">
        <f>K150</f>
        <v>0</v>
      </c>
      <c r="P150" s="23">
        <f t="shared" si="14"/>
        <v>28082600</v>
      </c>
      <c r="Q150" s="92"/>
      <c r="R150" s="92"/>
    </row>
    <row r="151" spans="1:25" s="72" customFormat="1" ht="139.15" customHeight="1" x14ac:dyDescent="0.2">
      <c r="A151" s="2">
        <v>3719270</v>
      </c>
      <c r="B151" s="33" t="s">
        <v>125</v>
      </c>
      <c r="C151" s="33" t="s">
        <v>47</v>
      </c>
      <c r="D151" s="43" t="s">
        <v>344</v>
      </c>
      <c r="E151" s="16">
        <f t="shared" si="18"/>
        <v>25597100</v>
      </c>
      <c r="F151" s="34"/>
      <c r="G151" s="34"/>
      <c r="H151" s="34"/>
      <c r="I151" s="34">
        <v>25597100</v>
      </c>
      <c r="J151" s="16">
        <f t="shared" si="20"/>
        <v>0</v>
      </c>
      <c r="K151" s="34"/>
      <c r="L151" s="34"/>
      <c r="M151" s="35"/>
      <c r="N151" s="34"/>
      <c r="O151" s="16">
        <f>K151</f>
        <v>0</v>
      </c>
      <c r="P151" s="23">
        <f t="shared" ref="P151:P181" si="22">E151+J151</f>
        <v>25597100</v>
      </c>
      <c r="Q151" s="91"/>
      <c r="R151" s="91"/>
    </row>
    <row r="152" spans="1:25" s="6" customFormat="1" ht="59.45" customHeight="1" x14ac:dyDescent="0.2">
      <c r="A152" s="1">
        <v>3719300</v>
      </c>
      <c r="B152" s="49" t="s">
        <v>233</v>
      </c>
      <c r="C152" s="49"/>
      <c r="D152" s="50" t="s">
        <v>232</v>
      </c>
      <c r="E152" s="23">
        <f t="shared" si="18"/>
        <v>37392701</v>
      </c>
      <c r="F152" s="35">
        <f>F153+F154+F155+F156+F157+F158+F159+F160</f>
        <v>37311701</v>
      </c>
      <c r="G152" s="35">
        <f>G159+G160+G153+G154+G155+G156+G157+G158</f>
        <v>0</v>
      </c>
      <c r="H152" s="35">
        <f>H159+H160+H153+H154+H155+H156+H157+H158</f>
        <v>0</v>
      </c>
      <c r="I152" s="35">
        <f>I159+I160+I153+I154+I155+I156+I157+I158</f>
        <v>81000</v>
      </c>
      <c r="J152" s="16">
        <f t="shared" si="20"/>
        <v>22629467</v>
      </c>
      <c r="K152" s="35">
        <f>K159+K160+K153+K154+K155+K156+K157+K158</f>
        <v>22629467</v>
      </c>
      <c r="L152" s="35">
        <f>L159+L160+L153+L154+L155+L156+L157+L158</f>
        <v>0</v>
      </c>
      <c r="M152" s="35">
        <f>M159+M160+M153+M154+M155+M156+M157+M158</f>
        <v>0</v>
      </c>
      <c r="N152" s="35">
        <f>N159+N160+N153+N154+N155+N156+N157+N158</f>
        <v>0</v>
      </c>
      <c r="O152" s="35">
        <f>O159+O160+O153+O154+O155+O156+O157+O158</f>
        <v>22629467</v>
      </c>
      <c r="P152" s="23">
        <f t="shared" si="22"/>
        <v>60022168</v>
      </c>
      <c r="Q152" s="75"/>
      <c r="R152" s="75"/>
    </row>
    <row r="153" spans="1:25" ht="84.6" customHeight="1" x14ac:dyDescent="0.2">
      <c r="A153" s="2">
        <v>3719310</v>
      </c>
      <c r="B153" s="33" t="s">
        <v>300</v>
      </c>
      <c r="C153" s="33" t="s">
        <v>47</v>
      </c>
      <c r="D153" s="43" t="s">
        <v>301</v>
      </c>
      <c r="E153" s="16">
        <f t="shared" ref="E153:E182" si="23">F153+I153</f>
        <v>24095400</v>
      </c>
      <c r="F153" s="34">
        <v>24095400</v>
      </c>
      <c r="G153" s="34"/>
      <c r="H153" s="34"/>
      <c r="I153" s="34"/>
      <c r="J153" s="16">
        <f t="shared" si="20"/>
        <v>0</v>
      </c>
      <c r="K153" s="34"/>
      <c r="L153" s="34"/>
      <c r="M153" s="34"/>
      <c r="N153" s="34"/>
      <c r="O153" s="16"/>
      <c r="P153" s="23">
        <f t="shared" si="22"/>
        <v>24095400</v>
      </c>
    </row>
    <row r="154" spans="1:25" s="72" customFormat="1" ht="75" customHeight="1" x14ac:dyDescent="0.2">
      <c r="A154" s="77">
        <v>3719320</v>
      </c>
      <c r="B154" s="78" t="s">
        <v>345</v>
      </c>
      <c r="C154" s="78" t="s">
        <v>47</v>
      </c>
      <c r="D154" s="79" t="s">
        <v>347</v>
      </c>
      <c r="E154" s="76">
        <f t="shared" si="23"/>
        <v>0</v>
      </c>
      <c r="F154" s="80"/>
      <c r="G154" s="80"/>
      <c r="H154" s="80"/>
      <c r="I154" s="80"/>
      <c r="J154" s="16">
        <f t="shared" si="20"/>
        <v>12810000</v>
      </c>
      <c r="K154" s="76">
        <v>12810000</v>
      </c>
      <c r="L154" s="80"/>
      <c r="M154" s="80"/>
      <c r="N154" s="80"/>
      <c r="O154" s="76">
        <f t="shared" ref="O154:O160" si="24">K154</f>
        <v>12810000</v>
      </c>
      <c r="P154" s="81">
        <f t="shared" si="22"/>
        <v>12810000</v>
      </c>
      <c r="Q154" s="91"/>
      <c r="R154" s="91"/>
    </row>
    <row r="155" spans="1:25" s="72" customFormat="1" ht="101.45" customHeight="1" x14ac:dyDescent="0.2">
      <c r="A155" s="77">
        <v>3719320</v>
      </c>
      <c r="B155" s="78" t="s">
        <v>345</v>
      </c>
      <c r="C155" s="78" t="s">
        <v>47</v>
      </c>
      <c r="D155" s="79" t="s">
        <v>346</v>
      </c>
      <c r="E155" s="76">
        <f t="shared" si="23"/>
        <v>160500</v>
      </c>
      <c r="F155" s="80">
        <v>160500</v>
      </c>
      <c r="G155" s="80"/>
      <c r="H155" s="80"/>
      <c r="I155" s="80"/>
      <c r="J155" s="16">
        <f t="shared" si="20"/>
        <v>0</v>
      </c>
      <c r="K155" s="82"/>
      <c r="L155" s="80"/>
      <c r="M155" s="80"/>
      <c r="N155" s="80"/>
      <c r="O155" s="76">
        <f t="shared" si="24"/>
        <v>0</v>
      </c>
      <c r="P155" s="81">
        <f t="shared" si="22"/>
        <v>160500</v>
      </c>
      <c r="Q155" s="91"/>
      <c r="R155" s="91"/>
    </row>
    <row r="156" spans="1:25" s="72" customFormat="1" ht="101.45" customHeight="1" x14ac:dyDescent="0.2">
      <c r="A156" s="77">
        <v>3719320</v>
      </c>
      <c r="B156" s="78" t="s">
        <v>345</v>
      </c>
      <c r="C156" s="78" t="s">
        <v>47</v>
      </c>
      <c r="D156" s="79" t="s">
        <v>348</v>
      </c>
      <c r="E156" s="76">
        <f t="shared" si="23"/>
        <v>0</v>
      </c>
      <c r="F156" s="80"/>
      <c r="G156" s="80"/>
      <c r="H156" s="80"/>
      <c r="I156" s="80"/>
      <c r="J156" s="16">
        <f t="shared" si="20"/>
        <v>8320300</v>
      </c>
      <c r="K156" s="82">
        <v>8320300</v>
      </c>
      <c r="L156" s="80"/>
      <c r="M156" s="80"/>
      <c r="N156" s="80"/>
      <c r="O156" s="76">
        <f t="shared" si="24"/>
        <v>8320300</v>
      </c>
      <c r="P156" s="81">
        <f t="shared" si="22"/>
        <v>8320300</v>
      </c>
      <c r="Q156" s="91"/>
      <c r="R156" s="91"/>
    </row>
    <row r="157" spans="1:25" s="72" customFormat="1" ht="101.45" customHeight="1" x14ac:dyDescent="0.2">
      <c r="A157" s="77">
        <v>3719320</v>
      </c>
      <c r="B157" s="78" t="s">
        <v>345</v>
      </c>
      <c r="C157" s="78" t="s">
        <v>47</v>
      </c>
      <c r="D157" s="79" t="s">
        <v>349</v>
      </c>
      <c r="E157" s="76">
        <f t="shared" si="23"/>
        <v>0</v>
      </c>
      <c r="F157" s="80"/>
      <c r="G157" s="80"/>
      <c r="H157" s="80"/>
      <c r="I157" s="80"/>
      <c r="J157" s="16">
        <f t="shared" si="20"/>
        <v>1295692</v>
      </c>
      <c r="K157" s="76">
        <v>1295692</v>
      </c>
      <c r="L157" s="80"/>
      <c r="M157" s="80"/>
      <c r="N157" s="80"/>
      <c r="O157" s="76">
        <f t="shared" si="24"/>
        <v>1295692</v>
      </c>
      <c r="P157" s="81">
        <f t="shared" si="22"/>
        <v>1295692</v>
      </c>
      <c r="Q157" s="91"/>
      <c r="R157" s="91"/>
    </row>
    <row r="158" spans="1:25" s="72" customFormat="1" ht="94.9" customHeight="1" x14ac:dyDescent="0.2">
      <c r="A158" s="77">
        <v>3719320</v>
      </c>
      <c r="B158" s="78" t="s">
        <v>345</v>
      </c>
      <c r="C158" s="78" t="s">
        <v>47</v>
      </c>
      <c r="D158" s="79" t="s">
        <v>350</v>
      </c>
      <c r="E158" s="76">
        <f t="shared" si="23"/>
        <v>0</v>
      </c>
      <c r="F158" s="80"/>
      <c r="G158" s="80"/>
      <c r="H158" s="80"/>
      <c r="I158" s="80"/>
      <c r="J158" s="16">
        <f t="shared" si="20"/>
        <v>203475</v>
      </c>
      <c r="K158" s="76">
        <v>203475</v>
      </c>
      <c r="L158" s="80"/>
      <c r="M158" s="80"/>
      <c r="N158" s="80"/>
      <c r="O158" s="76">
        <f t="shared" si="24"/>
        <v>203475</v>
      </c>
      <c r="P158" s="81">
        <f t="shared" si="22"/>
        <v>203475</v>
      </c>
      <c r="Q158" s="91"/>
      <c r="R158" s="91"/>
    </row>
    <row r="159" spans="1:25" ht="96.6" customHeight="1" x14ac:dyDescent="0.2">
      <c r="A159" s="2">
        <v>3719330</v>
      </c>
      <c r="B159" s="33" t="s">
        <v>234</v>
      </c>
      <c r="C159" s="33" t="s">
        <v>47</v>
      </c>
      <c r="D159" s="43" t="s">
        <v>323</v>
      </c>
      <c r="E159" s="16">
        <f t="shared" si="23"/>
        <v>13055801</v>
      </c>
      <c r="F159" s="34">
        <v>13055801</v>
      </c>
      <c r="G159" s="34"/>
      <c r="H159" s="34"/>
      <c r="I159" s="34"/>
      <c r="J159" s="16">
        <f t="shared" si="20"/>
        <v>0</v>
      </c>
      <c r="K159" s="83"/>
      <c r="L159" s="34"/>
      <c r="M159" s="35"/>
      <c r="N159" s="34"/>
      <c r="O159" s="16">
        <f t="shared" si="24"/>
        <v>0</v>
      </c>
      <c r="P159" s="23">
        <f t="shared" si="22"/>
        <v>13055801</v>
      </c>
    </row>
    <row r="160" spans="1:25" ht="86.45" customHeight="1" x14ac:dyDescent="0.2">
      <c r="A160" s="2">
        <v>3719330</v>
      </c>
      <c r="B160" s="33" t="s">
        <v>234</v>
      </c>
      <c r="C160" s="33" t="s">
        <v>47</v>
      </c>
      <c r="D160" s="43" t="s">
        <v>322</v>
      </c>
      <c r="E160" s="16">
        <f t="shared" si="23"/>
        <v>81000</v>
      </c>
      <c r="F160" s="34"/>
      <c r="G160" s="34"/>
      <c r="H160" s="34"/>
      <c r="I160" s="34">
        <v>81000</v>
      </c>
      <c r="J160" s="16">
        <f t="shared" si="20"/>
        <v>0</v>
      </c>
      <c r="K160" s="34"/>
      <c r="L160" s="34"/>
      <c r="M160" s="35"/>
      <c r="N160" s="34"/>
      <c r="O160" s="16">
        <f t="shared" si="24"/>
        <v>0</v>
      </c>
      <c r="P160" s="23">
        <f t="shared" si="22"/>
        <v>81000</v>
      </c>
    </row>
    <row r="161" spans="1:26" s="6" customFormat="1" ht="76.150000000000006" customHeight="1" x14ac:dyDescent="0.2">
      <c r="A161" s="3" t="s">
        <v>212</v>
      </c>
      <c r="B161" s="49" t="s">
        <v>213</v>
      </c>
      <c r="C161" s="49"/>
      <c r="D161" s="50" t="s">
        <v>211</v>
      </c>
      <c r="E161" s="23">
        <f t="shared" si="23"/>
        <v>55543316</v>
      </c>
      <c r="F161" s="35">
        <f>F162+F166+F163+F164+F165</f>
        <v>55543316</v>
      </c>
      <c r="G161" s="35">
        <f>G162+G166+G163+G164+G165</f>
        <v>0</v>
      </c>
      <c r="H161" s="35">
        <f>H162+H166+H163+H164+H165</f>
        <v>0</v>
      </c>
      <c r="I161" s="35">
        <f>I162+I166+I163+I164+I165</f>
        <v>0</v>
      </c>
      <c r="J161" s="23">
        <f t="shared" si="20"/>
        <v>0</v>
      </c>
      <c r="K161" s="35">
        <f>K162+K166+K163+K164+K165</f>
        <v>0</v>
      </c>
      <c r="L161" s="35">
        <f>L162+L166+L163+L164+L165</f>
        <v>0</v>
      </c>
      <c r="M161" s="35">
        <f>M162+M166+M163+M164+M165</f>
        <v>0</v>
      </c>
      <c r="N161" s="35">
        <f>N162+N166+N163+N164+N165</f>
        <v>0</v>
      </c>
      <c r="O161" s="35">
        <f>O162+O166+O163+O164+O165</f>
        <v>0</v>
      </c>
      <c r="P161" s="23">
        <f t="shared" si="22"/>
        <v>55543316</v>
      </c>
      <c r="Q161" s="75"/>
      <c r="R161" s="75"/>
    </row>
    <row r="162" spans="1:26" ht="85.9" customHeight="1" x14ac:dyDescent="0.2">
      <c r="A162" s="5" t="s">
        <v>190</v>
      </c>
      <c r="B162" s="5" t="s">
        <v>191</v>
      </c>
      <c r="C162" s="5" t="s">
        <v>47</v>
      </c>
      <c r="D162" s="20" t="s">
        <v>192</v>
      </c>
      <c r="E162" s="16">
        <f t="shared" si="23"/>
        <v>34582500</v>
      </c>
      <c r="F162" s="16">
        <v>34582500</v>
      </c>
      <c r="G162" s="16"/>
      <c r="H162" s="16"/>
      <c r="I162" s="11"/>
      <c r="J162" s="16">
        <f t="shared" si="20"/>
        <v>0</v>
      </c>
      <c r="K162" s="16"/>
      <c r="L162" s="16"/>
      <c r="M162" s="16"/>
      <c r="N162" s="16"/>
      <c r="O162" s="16">
        <f>K162</f>
        <v>0</v>
      </c>
      <c r="P162" s="23">
        <f t="shared" si="22"/>
        <v>34582500</v>
      </c>
    </row>
    <row r="163" spans="1:26" ht="85.9" customHeight="1" x14ac:dyDescent="0.2">
      <c r="A163" s="5" t="s">
        <v>190</v>
      </c>
      <c r="B163" s="5" t="s">
        <v>191</v>
      </c>
      <c r="C163" s="5" t="s">
        <v>47</v>
      </c>
      <c r="D163" s="20" t="s">
        <v>256</v>
      </c>
      <c r="E163" s="16">
        <f t="shared" si="23"/>
        <v>1336300</v>
      </c>
      <c r="F163" s="16">
        <v>1336300</v>
      </c>
      <c r="G163" s="16"/>
      <c r="H163" s="16"/>
      <c r="I163" s="11"/>
      <c r="J163" s="16">
        <f t="shared" si="20"/>
        <v>0</v>
      </c>
      <c r="K163" s="16"/>
      <c r="L163" s="16"/>
      <c r="M163" s="16"/>
      <c r="N163" s="16"/>
      <c r="O163" s="16">
        <f>K163</f>
        <v>0</v>
      </c>
      <c r="P163" s="23">
        <f t="shared" si="22"/>
        <v>1336300</v>
      </c>
    </row>
    <row r="164" spans="1:26" s="72" customFormat="1" ht="85.9" customHeight="1" x14ac:dyDescent="0.2">
      <c r="A164" s="88" t="s">
        <v>190</v>
      </c>
      <c r="B164" s="88" t="s">
        <v>191</v>
      </c>
      <c r="C164" s="88" t="s">
        <v>47</v>
      </c>
      <c r="D164" s="89" t="s">
        <v>406</v>
      </c>
      <c r="E164" s="76">
        <f>F164+I164</f>
        <v>6379416</v>
      </c>
      <c r="F164" s="76">
        <f>6379416</f>
        <v>6379416</v>
      </c>
      <c r="G164" s="76"/>
      <c r="H164" s="76"/>
      <c r="I164" s="114"/>
      <c r="J164" s="16">
        <f t="shared" si="20"/>
        <v>0</v>
      </c>
      <c r="K164" s="76"/>
      <c r="L164" s="76"/>
      <c r="M164" s="76"/>
      <c r="N164" s="76"/>
      <c r="O164" s="76">
        <f>K164</f>
        <v>0</v>
      </c>
      <c r="P164" s="81">
        <f>E164+J164</f>
        <v>6379416</v>
      </c>
      <c r="Q164" s="91"/>
      <c r="R164" s="91"/>
    </row>
    <row r="165" spans="1:26" s="72" customFormat="1" ht="82.9" customHeight="1" x14ac:dyDescent="0.2">
      <c r="A165" s="88" t="s">
        <v>398</v>
      </c>
      <c r="B165" s="88" t="s">
        <v>399</v>
      </c>
      <c r="C165" s="88" t="s">
        <v>47</v>
      </c>
      <c r="D165" s="89" t="s">
        <v>400</v>
      </c>
      <c r="E165" s="76">
        <f>F165+I165</f>
        <v>5000000</v>
      </c>
      <c r="F165" s="76">
        <v>5000000</v>
      </c>
      <c r="G165" s="76"/>
      <c r="H165" s="76"/>
      <c r="I165" s="114"/>
      <c r="J165" s="16">
        <f t="shared" si="20"/>
        <v>0</v>
      </c>
      <c r="K165" s="76"/>
      <c r="L165" s="76"/>
      <c r="M165" s="76"/>
      <c r="N165" s="76"/>
      <c r="O165" s="76"/>
      <c r="P165" s="81">
        <f>E165+J165</f>
        <v>5000000</v>
      </c>
      <c r="Q165" s="91"/>
      <c r="R165" s="91"/>
    </row>
    <row r="166" spans="1:26" ht="77.45" customHeight="1" x14ac:dyDescent="0.2">
      <c r="A166" s="5" t="s">
        <v>188</v>
      </c>
      <c r="B166" s="5" t="s">
        <v>189</v>
      </c>
      <c r="C166" s="5" t="s">
        <v>47</v>
      </c>
      <c r="D166" s="20" t="s">
        <v>187</v>
      </c>
      <c r="E166" s="16">
        <f t="shared" si="23"/>
        <v>8245100</v>
      </c>
      <c r="F166" s="16">
        <v>8245100</v>
      </c>
      <c r="G166" s="16"/>
      <c r="H166" s="16"/>
      <c r="I166" s="11"/>
      <c r="J166" s="16">
        <f t="shared" si="20"/>
        <v>0</v>
      </c>
      <c r="K166" s="16"/>
      <c r="L166" s="16"/>
      <c r="M166" s="16"/>
      <c r="N166" s="16"/>
      <c r="O166" s="16">
        <f>K166</f>
        <v>0</v>
      </c>
      <c r="P166" s="23">
        <f t="shared" si="22"/>
        <v>8245100</v>
      </c>
    </row>
    <row r="167" spans="1:26" s="73" customFormat="1" ht="94.15" customHeight="1" x14ac:dyDescent="0.2">
      <c r="A167" s="104" t="s">
        <v>371</v>
      </c>
      <c r="B167" s="104" t="s">
        <v>372</v>
      </c>
      <c r="C167" s="104"/>
      <c r="D167" s="115" t="s">
        <v>370</v>
      </c>
      <c r="E167" s="81">
        <f t="shared" si="23"/>
        <v>0</v>
      </c>
      <c r="F167" s="81">
        <f>F168</f>
        <v>0</v>
      </c>
      <c r="G167" s="81">
        <f>G168</f>
        <v>0</v>
      </c>
      <c r="H167" s="81">
        <f>H168</f>
        <v>0</v>
      </c>
      <c r="I167" s="81">
        <f>I168</f>
        <v>0</v>
      </c>
      <c r="J167" s="23">
        <f t="shared" si="20"/>
        <v>27109200</v>
      </c>
      <c r="K167" s="81">
        <f>K168</f>
        <v>0</v>
      </c>
      <c r="L167" s="81">
        <f>L168</f>
        <v>11552100</v>
      </c>
      <c r="M167" s="81">
        <f>M168</f>
        <v>0</v>
      </c>
      <c r="N167" s="81">
        <f>N168</f>
        <v>0</v>
      </c>
      <c r="O167" s="81">
        <f>O168</f>
        <v>15557100</v>
      </c>
      <c r="P167" s="81">
        <f t="shared" si="22"/>
        <v>27109200</v>
      </c>
      <c r="Q167" s="92"/>
      <c r="R167" s="92"/>
    </row>
    <row r="168" spans="1:26" s="72" customFormat="1" ht="136.15" customHeight="1" x14ac:dyDescent="0.2">
      <c r="A168" s="88" t="s">
        <v>368</v>
      </c>
      <c r="B168" s="88" t="s">
        <v>369</v>
      </c>
      <c r="C168" s="88" t="s">
        <v>47</v>
      </c>
      <c r="D168" s="89" t="s">
        <v>373</v>
      </c>
      <c r="E168" s="76">
        <f t="shared" si="23"/>
        <v>0</v>
      </c>
      <c r="F168" s="76"/>
      <c r="G168" s="76"/>
      <c r="H168" s="76"/>
      <c r="I168" s="114"/>
      <c r="J168" s="16">
        <f t="shared" si="20"/>
        <v>27109200</v>
      </c>
      <c r="K168" s="76"/>
      <c r="L168" s="76">
        <f>11552100</f>
        <v>11552100</v>
      </c>
      <c r="M168" s="76"/>
      <c r="N168" s="76"/>
      <c r="O168" s="76">
        <f>K168+15557100</f>
        <v>15557100</v>
      </c>
      <c r="P168" s="81">
        <f t="shared" si="22"/>
        <v>27109200</v>
      </c>
      <c r="Q168" s="91"/>
      <c r="R168" s="91"/>
    </row>
    <row r="169" spans="1:26" s="6" customFormat="1" ht="64.150000000000006" customHeight="1" x14ac:dyDescent="0.2">
      <c r="A169" s="3" t="s">
        <v>215</v>
      </c>
      <c r="B169" s="3" t="s">
        <v>216</v>
      </c>
      <c r="C169" s="3"/>
      <c r="D169" s="22" t="s">
        <v>214</v>
      </c>
      <c r="E169" s="23">
        <f t="shared" si="23"/>
        <v>2420545</v>
      </c>
      <c r="F169" s="23">
        <f>F171+F170</f>
        <v>2420545</v>
      </c>
      <c r="G169" s="23">
        <f>G171+G170</f>
        <v>0</v>
      </c>
      <c r="H169" s="23">
        <f>H171+H170</f>
        <v>0</v>
      </c>
      <c r="I169" s="23">
        <f>I171+I170</f>
        <v>0</v>
      </c>
      <c r="J169" s="23">
        <f t="shared" si="20"/>
        <v>77051147</v>
      </c>
      <c r="K169" s="23">
        <f>K171+K170</f>
        <v>68275023</v>
      </c>
      <c r="L169" s="23">
        <f>L171+L170</f>
        <v>0</v>
      </c>
      <c r="M169" s="23">
        <f>M171+M170</f>
        <v>0</v>
      </c>
      <c r="N169" s="23">
        <f>N171+N170</f>
        <v>0</v>
      </c>
      <c r="O169" s="23">
        <f>O171+O170</f>
        <v>77051147</v>
      </c>
      <c r="P169" s="23">
        <f t="shared" si="22"/>
        <v>79471692</v>
      </c>
      <c r="Q169" s="75"/>
      <c r="R169" s="75"/>
    </row>
    <row r="170" spans="1:26" s="73" customFormat="1" ht="72" customHeight="1" x14ac:dyDescent="0.2">
      <c r="A170" s="88" t="s">
        <v>374</v>
      </c>
      <c r="B170" s="109" t="s">
        <v>375</v>
      </c>
      <c r="C170" s="109" t="s">
        <v>47</v>
      </c>
      <c r="D170" s="89" t="s">
        <v>376</v>
      </c>
      <c r="E170" s="76">
        <f t="shared" si="23"/>
        <v>0</v>
      </c>
      <c r="F170" s="81"/>
      <c r="G170" s="81"/>
      <c r="H170" s="81"/>
      <c r="I170" s="81"/>
      <c r="J170" s="16">
        <f t="shared" si="20"/>
        <v>8776124</v>
      </c>
      <c r="K170" s="81"/>
      <c r="L170" s="81"/>
      <c r="M170" s="81"/>
      <c r="N170" s="76"/>
      <c r="O170" s="81">
        <f>K170+8776124</f>
        <v>8776124</v>
      </c>
      <c r="P170" s="81">
        <f t="shared" si="22"/>
        <v>8776124</v>
      </c>
      <c r="Q170" s="116"/>
      <c r="R170" s="90"/>
      <c r="S170" s="116"/>
      <c r="U170" s="92"/>
      <c r="Y170" s="107"/>
      <c r="Z170" s="108"/>
    </row>
    <row r="171" spans="1:26" ht="21" customHeight="1" x14ac:dyDescent="0.2">
      <c r="A171" s="5" t="s">
        <v>151</v>
      </c>
      <c r="B171" s="5" t="s">
        <v>131</v>
      </c>
      <c r="C171" s="5" t="s">
        <v>47</v>
      </c>
      <c r="D171" s="19" t="s">
        <v>130</v>
      </c>
      <c r="E171" s="16">
        <f t="shared" si="23"/>
        <v>2420545</v>
      </c>
      <c r="F171" s="25">
        <f>500000+1920545</f>
        <v>2420545</v>
      </c>
      <c r="G171" s="25"/>
      <c r="H171" s="23"/>
      <c r="I171" s="10"/>
      <c r="J171" s="16">
        <f t="shared" si="20"/>
        <v>68275023</v>
      </c>
      <c r="K171" s="76">
        <f>44016273+21875750+19183000-1000000-16800000+1000000</f>
        <v>68275023</v>
      </c>
      <c r="L171" s="25"/>
      <c r="M171" s="25"/>
      <c r="N171" s="23"/>
      <c r="O171" s="16">
        <f>K171</f>
        <v>68275023</v>
      </c>
      <c r="P171" s="23">
        <f t="shared" si="22"/>
        <v>70695568</v>
      </c>
    </row>
    <row r="172" spans="1:26" s="6" customFormat="1" ht="57" customHeight="1" x14ac:dyDescent="0.2">
      <c r="A172" s="3" t="s">
        <v>229</v>
      </c>
      <c r="B172" s="3" t="s">
        <v>230</v>
      </c>
      <c r="C172" s="3"/>
      <c r="D172" s="21" t="s">
        <v>239</v>
      </c>
      <c r="E172" s="23">
        <f t="shared" si="23"/>
        <v>2981000</v>
      </c>
      <c r="F172" s="51">
        <f>SUM(F173:F180)</f>
        <v>2981000</v>
      </c>
      <c r="G172" s="51">
        <f>SUM(G173:G180)</f>
        <v>0</v>
      </c>
      <c r="H172" s="51">
        <f>SUM(H173:H180)</f>
        <v>0</v>
      </c>
      <c r="I172" s="51">
        <f>SUM(I173:I180)</f>
        <v>0</v>
      </c>
      <c r="J172" s="23">
        <f t="shared" si="20"/>
        <v>4642400</v>
      </c>
      <c r="K172" s="51">
        <f>SUM(K173:K180)</f>
        <v>3865000</v>
      </c>
      <c r="L172" s="51">
        <f>SUM(L173:L180)</f>
        <v>777400</v>
      </c>
      <c r="M172" s="51">
        <f>SUM(M173:M180)</f>
        <v>0</v>
      </c>
      <c r="N172" s="51">
        <f>SUM(N173:N180)</f>
        <v>0</v>
      </c>
      <c r="O172" s="51">
        <f>SUM(O173:O180)</f>
        <v>3865000</v>
      </c>
      <c r="P172" s="23">
        <f t="shared" si="22"/>
        <v>7623400</v>
      </c>
      <c r="Q172" s="75"/>
      <c r="R172" s="75"/>
    </row>
    <row r="173" spans="1:26" s="73" customFormat="1" ht="105" customHeight="1" x14ac:dyDescent="0.2">
      <c r="A173" s="88" t="s">
        <v>229</v>
      </c>
      <c r="B173" s="109" t="s">
        <v>230</v>
      </c>
      <c r="C173" s="109" t="s">
        <v>47</v>
      </c>
      <c r="D173" s="111" t="s">
        <v>377</v>
      </c>
      <c r="E173" s="76">
        <f t="shared" si="23"/>
        <v>0</v>
      </c>
      <c r="F173" s="118"/>
      <c r="G173" s="118"/>
      <c r="H173" s="81"/>
      <c r="I173" s="119"/>
      <c r="J173" s="16">
        <f t="shared" si="20"/>
        <v>1115000</v>
      </c>
      <c r="K173" s="74">
        <v>1115000</v>
      </c>
      <c r="L173" s="118"/>
      <c r="M173" s="81"/>
      <c r="N173" s="118"/>
      <c r="O173" s="118">
        <f>K173</f>
        <v>1115000</v>
      </c>
      <c r="P173" s="81">
        <f t="shared" si="22"/>
        <v>1115000</v>
      </c>
      <c r="Q173" s="116"/>
      <c r="R173" s="116"/>
      <c r="S173" s="116"/>
      <c r="U173" s="92"/>
      <c r="Y173" s="107"/>
      <c r="Z173" s="108"/>
    </row>
    <row r="174" spans="1:26" s="72" customFormat="1" ht="167.45" customHeight="1" x14ac:dyDescent="0.2">
      <c r="A174" s="88" t="s">
        <v>229</v>
      </c>
      <c r="B174" s="109" t="s">
        <v>230</v>
      </c>
      <c r="C174" s="109" t="s">
        <v>47</v>
      </c>
      <c r="D174" s="111" t="s">
        <v>378</v>
      </c>
      <c r="E174" s="76">
        <f t="shared" si="23"/>
        <v>0</v>
      </c>
      <c r="F174" s="74"/>
      <c r="G174" s="74"/>
      <c r="H174" s="81"/>
      <c r="I174" s="119"/>
      <c r="J174" s="16">
        <f t="shared" si="20"/>
        <v>1250000</v>
      </c>
      <c r="K174" s="74">
        <f>1250000</f>
        <v>1250000</v>
      </c>
      <c r="L174" s="74"/>
      <c r="M174" s="81"/>
      <c r="N174" s="74"/>
      <c r="O174" s="118">
        <f t="shared" ref="O174:O179" si="25">K174</f>
        <v>1250000</v>
      </c>
      <c r="P174" s="81">
        <f t="shared" si="22"/>
        <v>1250000</v>
      </c>
      <c r="Q174" s="120"/>
      <c r="R174" s="120"/>
      <c r="S174" s="120"/>
      <c r="U174" s="92"/>
      <c r="Y174" s="93"/>
      <c r="Z174" s="94"/>
    </row>
    <row r="175" spans="1:26" s="72" customFormat="1" ht="89.45" customHeight="1" x14ac:dyDescent="0.2">
      <c r="A175" s="88" t="s">
        <v>229</v>
      </c>
      <c r="B175" s="109" t="s">
        <v>230</v>
      </c>
      <c r="C175" s="109" t="s">
        <v>47</v>
      </c>
      <c r="D175" s="111" t="s">
        <v>381</v>
      </c>
      <c r="E175" s="76">
        <f t="shared" si="23"/>
        <v>80000</v>
      </c>
      <c r="F175" s="74">
        <v>80000</v>
      </c>
      <c r="G175" s="74"/>
      <c r="H175" s="81"/>
      <c r="I175" s="119"/>
      <c r="J175" s="16">
        <f t="shared" si="20"/>
        <v>0</v>
      </c>
      <c r="K175" s="74"/>
      <c r="L175" s="74"/>
      <c r="M175" s="81"/>
      <c r="N175" s="118"/>
      <c r="O175" s="118">
        <f t="shared" si="25"/>
        <v>0</v>
      </c>
      <c r="P175" s="81">
        <f t="shared" si="22"/>
        <v>80000</v>
      </c>
      <c r="Q175" s="120"/>
      <c r="R175" s="120"/>
      <c r="S175" s="120"/>
      <c r="U175" s="92"/>
      <c r="Y175" s="93"/>
      <c r="Z175" s="94"/>
    </row>
    <row r="176" spans="1:26" s="72" customFormat="1" ht="95.45" customHeight="1" x14ac:dyDescent="0.2">
      <c r="A176" s="88" t="s">
        <v>229</v>
      </c>
      <c r="B176" s="109" t="s">
        <v>230</v>
      </c>
      <c r="C176" s="109" t="s">
        <v>47</v>
      </c>
      <c r="D176" s="111" t="s">
        <v>380</v>
      </c>
      <c r="E176" s="76">
        <f t="shared" si="23"/>
        <v>265000</v>
      </c>
      <c r="F176" s="74">
        <f>265000</f>
        <v>265000</v>
      </c>
      <c r="G176" s="74"/>
      <c r="H176" s="81"/>
      <c r="I176" s="119"/>
      <c r="J176" s="16">
        <f t="shared" si="20"/>
        <v>0</v>
      </c>
      <c r="K176" s="74"/>
      <c r="L176" s="74"/>
      <c r="M176" s="81"/>
      <c r="N176" s="74"/>
      <c r="O176" s="118">
        <f t="shared" si="25"/>
        <v>0</v>
      </c>
      <c r="P176" s="81">
        <f t="shared" si="22"/>
        <v>265000</v>
      </c>
      <c r="Q176" s="120"/>
      <c r="R176" s="120"/>
      <c r="S176" s="120"/>
      <c r="U176" s="92"/>
      <c r="Y176" s="93"/>
      <c r="Z176" s="94"/>
    </row>
    <row r="177" spans="1:26" s="72" customFormat="1" ht="120" customHeight="1" x14ac:dyDescent="0.2">
      <c r="A177" s="88" t="s">
        <v>229</v>
      </c>
      <c r="B177" s="109" t="s">
        <v>230</v>
      </c>
      <c r="C177" s="109" t="s">
        <v>47</v>
      </c>
      <c r="D177" s="111" t="s">
        <v>379</v>
      </c>
      <c r="E177" s="76">
        <f t="shared" si="23"/>
        <v>356000</v>
      </c>
      <c r="F177" s="74">
        <f>356000</f>
        <v>356000</v>
      </c>
      <c r="G177" s="74"/>
      <c r="H177" s="81"/>
      <c r="I177" s="119"/>
      <c r="J177" s="16">
        <f t="shared" si="20"/>
        <v>0</v>
      </c>
      <c r="K177" s="74"/>
      <c r="L177" s="74"/>
      <c r="M177" s="81"/>
      <c r="N177" s="74"/>
      <c r="O177" s="118">
        <f>K177</f>
        <v>0</v>
      </c>
      <c r="P177" s="81">
        <f>E177+J177</f>
        <v>356000</v>
      </c>
      <c r="Q177" s="120"/>
      <c r="R177" s="120"/>
      <c r="S177" s="120"/>
      <c r="U177" s="92"/>
      <c r="Y177" s="93"/>
      <c r="Z177" s="94"/>
    </row>
    <row r="178" spans="1:26" s="72" customFormat="1" ht="115.15" customHeight="1" x14ac:dyDescent="0.2">
      <c r="A178" s="88" t="s">
        <v>229</v>
      </c>
      <c r="B178" s="109" t="s">
        <v>230</v>
      </c>
      <c r="C178" s="109" t="s">
        <v>47</v>
      </c>
      <c r="D178" s="111" t="s">
        <v>382</v>
      </c>
      <c r="E178" s="76">
        <f t="shared" si="23"/>
        <v>1000000</v>
      </c>
      <c r="F178" s="74">
        <f>1000000</f>
        <v>1000000</v>
      </c>
      <c r="G178" s="74"/>
      <c r="H178" s="81"/>
      <c r="I178" s="119"/>
      <c r="J178" s="16">
        <f t="shared" si="20"/>
        <v>1500000</v>
      </c>
      <c r="K178" s="74">
        <f>1500000</f>
        <v>1500000</v>
      </c>
      <c r="L178" s="74"/>
      <c r="M178" s="81"/>
      <c r="N178" s="74"/>
      <c r="O178" s="118">
        <f>K178</f>
        <v>1500000</v>
      </c>
      <c r="P178" s="81">
        <f>E178+J178</f>
        <v>2500000</v>
      </c>
      <c r="Q178" s="120"/>
      <c r="R178" s="120"/>
      <c r="S178" s="120"/>
      <c r="U178" s="92"/>
      <c r="Y178" s="93"/>
      <c r="Z178" s="94"/>
    </row>
    <row r="179" spans="1:26" s="72" customFormat="1" ht="84.6" customHeight="1" x14ac:dyDescent="0.2">
      <c r="A179" s="88" t="s">
        <v>229</v>
      </c>
      <c r="B179" s="109" t="s">
        <v>230</v>
      </c>
      <c r="C179" s="109" t="s">
        <v>47</v>
      </c>
      <c r="D179" s="111" t="s">
        <v>383</v>
      </c>
      <c r="E179" s="76">
        <f t="shared" si="23"/>
        <v>1280000</v>
      </c>
      <c r="F179" s="74">
        <f>1280000</f>
        <v>1280000</v>
      </c>
      <c r="G179" s="74"/>
      <c r="H179" s="81"/>
      <c r="I179" s="119"/>
      <c r="J179" s="16">
        <f t="shared" si="20"/>
        <v>0</v>
      </c>
      <c r="K179" s="74"/>
      <c r="L179" s="74"/>
      <c r="M179" s="81"/>
      <c r="N179" s="118"/>
      <c r="O179" s="118">
        <f t="shared" si="25"/>
        <v>0</v>
      </c>
      <c r="P179" s="81">
        <f t="shared" si="22"/>
        <v>1280000</v>
      </c>
      <c r="Q179" s="120"/>
      <c r="R179" s="120"/>
      <c r="S179" s="120"/>
      <c r="U179" s="92"/>
      <c r="Y179" s="93"/>
      <c r="Z179" s="94"/>
    </row>
    <row r="180" spans="1:26" s="6" customFormat="1" ht="99.6" customHeight="1" x14ac:dyDescent="0.2">
      <c r="A180" s="5" t="s">
        <v>229</v>
      </c>
      <c r="B180" s="5" t="s">
        <v>230</v>
      </c>
      <c r="C180" s="5" t="s">
        <v>47</v>
      </c>
      <c r="D180" s="19" t="s">
        <v>312</v>
      </c>
      <c r="E180" s="16">
        <f t="shared" si="23"/>
        <v>0</v>
      </c>
      <c r="F180" s="51"/>
      <c r="G180" s="51"/>
      <c r="H180" s="23"/>
      <c r="I180" s="10"/>
      <c r="J180" s="16">
        <f t="shared" si="20"/>
        <v>777400</v>
      </c>
      <c r="K180" s="16"/>
      <c r="L180" s="74">
        <f>26000+751400</f>
        <v>777400</v>
      </c>
      <c r="M180" s="51"/>
      <c r="N180" s="23"/>
      <c r="O180" s="16">
        <f>K180</f>
        <v>0</v>
      </c>
      <c r="P180" s="23">
        <f t="shared" si="22"/>
        <v>777400</v>
      </c>
      <c r="Q180" s="75"/>
      <c r="R180" s="75"/>
    </row>
    <row r="181" spans="1:26" ht="19.899999999999999" customHeight="1" x14ac:dyDescent="0.2">
      <c r="A181" s="3" t="s">
        <v>152</v>
      </c>
      <c r="B181" s="3"/>
      <c r="C181" s="3"/>
      <c r="D181" s="21" t="s">
        <v>10</v>
      </c>
      <c r="E181" s="23">
        <f t="shared" si="23"/>
        <v>1500000</v>
      </c>
      <c r="F181" s="23">
        <f>F182</f>
        <v>1500000</v>
      </c>
      <c r="G181" s="23">
        <f>G182</f>
        <v>0</v>
      </c>
      <c r="H181" s="23">
        <f>H182</f>
        <v>0</v>
      </c>
      <c r="I181" s="23">
        <f>I182</f>
        <v>0</v>
      </c>
      <c r="J181" s="16">
        <f t="shared" si="20"/>
        <v>0</v>
      </c>
      <c r="K181" s="23">
        <f>K182</f>
        <v>0</v>
      </c>
      <c r="L181" s="23">
        <f>L182</f>
        <v>0</v>
      </c>
      <c r="M181" s="23">
        <f>M182</f>
        <v>0</v>
      </c>
      <c r="N181" s="23">
        <f>N182</f>
        <v>0</v>
      </c>
      <c r="O181" s="23">
        <f>O182</f>
        <v>0</v>
      </c>
      <c r="P181" s="23">
        <f t="shared" si="22"/>
        <v>1500000</v>
      </c>
    </row>
    <row r="182" spans="1:26" ht="27.6" customHeight="1" x14ac:dyDescent="0.2">
      <c r="A182" s="5" t="s">
        <v>153</v>
      </c>
      <c r="B182" s="5" t="s">
        <v>127</v>
      </c>
      <c r="C182" s="5" t="s">
        <v>46</v>
      </c>
      <c r="D182" s="20" t="s">
        <v>88</v>
      </c>
      <c r="E182" s="16">
        <f t="shared" si="23"/>
        <v>1500000</v>
      </c>
      <c r="F182" s="16">
        <v>1500000</v>
      </c>
      <c r="G182" s="16"/>
      <c r="H182" s="16"/>
      <c r="I182" s="11"/>
      <c r="J182" s="16">
        <f t="shared" si="20"/>
        <v>0</v>
      </c>
      <c r="K182" s="16"/>
      <c r="L182" s="16"/>
      <c r="M182" s="16"/>
      <c r="N182" s="16"/>
      <c r="O182" s="16">
        <v>0</v>
      </c>
      <c r="P182" s="35">
        <f>E182+J182</f>
        <v>1500000</v>
      </c>
      <c r="Q182" s="84">
        <v>7525963835</v>
      </c>
    </row>
    <row r="183" spans="1:26" ht="25.15" customHeight="1" x14ac:dyDescent="0.2">
      <c r="A183" s="3"/>
      <c r="B183" s="3"/>
      <c r="C183" s="3"/>
      <c r="D183" s="21" t="s">
        <v>247</v>
      </c>
      <c r="E183" s="23">
        <f t="shared" ref="E183:P183" si="26">E14+E26+E42+E63+E77+E82+E93+E118+E126+E141+E133+E130</f>
        <v>6635357898</v>
      </c>
      <c r="F183" s="23">
        <f t="shared" si="26"/>
        <v>6609679798</v>
      </c>
      <c r="G183" s="23">
        <f t="shared" si="26"/>
        <v>483905303</v>
      </c>
      <c r="H183" s="23">
        <f t="shared" si="26"/>
        <v>75467379</v>
      </c>
      <c r="I183" s="23">
        <f t="shared" si="26"/>
        <v>25678100</v>
      </c>
      <c r="J183" s="23">
        <f t="shared" si="26"/>
        <v>1197041900</v>
      </c>
      <c r="K183" s="23">
        <f t="shared" si="26"/>
        <v>475316648</v>
      </c>
      <c r="L183" s="23">
        <f t="shared" si="26"/>
        <v>583754018</v>
      </c>
      <c r="M183" s="23">
        <f t="shared" si="26"/>
        <v>6944980</v>
      </c>
      <c r="N183" s="23">
        <f t="shared" si="26"/>
        <v>2578992</v>
      </c>
      <c r="O183" s="23">
        <f t="shared" si="26"/>
        <v>613287882</v>
      </c>
      <c r="P183" s="23">
        <f t="shared" si="26"/>
        <v>7832399798</v>
      </c>
      <c r="Q183" s="84">
        <f>P183-Q182</f>
        <v>306435963</v>
      </c>
    </row>
    <row r="184" spans="1:26" ht="22.9" customHeight="1" x14ac:dyDescent="0.2">
      <c r="E184" s="24">
        <v>6762870450</v>
      </c>
      <c r="F184" s="24">
        <v>6737192350</v>
      </c>
      <c r="G184" s="24">
        <v>483141103</v>
      </c>
      <c r="H184" s="24">
        <v>75467379</v>
      </c>
      <c r="I184" s="4">
        <v>25678100</v>
      </c>
      <c r="J184" s="24">
        <v>763093385</v>
      </c>
      <c r="K184" s="24">
        <v>53901900</v>
      </c>
      <c r="L184" s="24">
        <v>508838175</v>
      </c>
      <c r="M184" s="24">
        <v>6944980</v>
      </c>
      <c r="N184" s="24">
        <v>2578992</v>
      </c>
      <c r="O184" s="24">
        <v>254255210</v>
      </c>
      <c r="P184" s="58">
        <v>7525963835</v>
      </c>
    </row>
    <row r="185" spans="1:26" x14ac:dyDescent="0.2">
      <c r="E185" s="59">
        <f>E183-E184</f>
        <v>-127512552</v>
      </c>
      <c r="F185" s="59">
        <f t="shared" ref="F185:P185" si="27">F183-F184</f>
        <v>-127512552</v>
      </c>
      <c r="G185" s="59">
        <f t="shared" si="27"/>
        <v>764200</v>
      </c>
      <c r="H185" s="59">
        <f t="shared" si="27"/>
        <v>0</v>
      </c>
      <c r="I185" s="59">
        <f t="shared" si="27"/>
        <v>0</v>
      </c>
      <c r="J185" s="59">
        <f t="shared" si="27"/>
        <v>433948515</v>
      </c>
      <c r="K185" s="59">
        <f t="shared" si="27"/>
        <v>421414748</v>
      </c>
      <c r="L185" s="59">
        <f t="shared" si="27"/>
        <v>74915843</v>
      </c>
      <c r="M185" s="59">
        <f t="shared" si="27"/>
        <v>0</v>
      </c>
      <c r="N185" s="59">
        <f t="shared" si="27"/>
        <v>0</v>
      </c>
      <c r="O185" s="59">
        <f t="shared" si="27"/>
        <v>359032672</v>
      </c>
      <c r="P185" s="59">
        <f t="shared" si="27"/>
        <v>306435963</v>
      </c>
    </row>
    <row r="187" spans="1:26" x14ac:dyDescent="0.2">
      <c r="A187" s="6"/>
      <c r="B187" s="6"/>
      <c r="C187" s="6"/>
      <c r="D187" s="6"/>
      <c r="E187" s="58" t="s">
        <v>78</v>
      </c>
      <c r="F187" s="58"/>
      <c r="G187" s="58"/>
      <c r="H187" s="58"/>
      <c r="I187" s="6"/>
      <c r="J187" s="58" t="s">
        <v>79</v>
      </c>
      <c r="K187" s="58"/>
      <c r="L187" s="58"/>
      <c r="M187" s="58"/>
      <c r="N187" s="58"/>
      <c r="O187" s="58"/>
      <c r="P187" s="58" t="s">
        <v>329</v>
      </c>
    </row>
    <row r="188" spans="1:26" x14ac:dyDescent="0.2">
      <c r="D188" s="4" t="s">
        <v>330</v>
      </c>
      <c r="E188" s="67">
        <f>'[1]дод 1 29.11'!$D$87</f>
        <v>6817072350</v>
      </c>
      <c r="F188" s="67"/>
      <c r="G188" s="67"/>
      <c r="H188" s="67"/>
      <c r="I188" s="68"/>
      <c r="J188" s="67">
        <f>'[1]дод 1 29.11'!$E$87</f>
        <v>709191485</v>
      </c>
      <c r="K188" s="67"/>
      <c r="L188" s="67"/>
      <c r="M188" s="67"/>
      <c r="N188" s="67"/>
      <c r="O188" s="67"/>
      <c r="P188" s="69">
        <f>E188+J188</f>
        <v>7526263835</v>
      </c>
      <c r="Q188" s="84">
        <v>7526263835</v>
      </c>
      <c r="R188" s="84">
        <f>P188-Q188</f>
        <v>0</v>
      </c>
    </row>
    <row r="189" spans="1:26" x14ac:dyDescent="0.2">
      <c r="D189" s="4" t="s">
        <v>331</v>
      </c>
      <c r="E189" s="67">
        <f>'[3]dod4 (2)'!$D$12</f>
        <v>135394079.47</v>
      </c>
      <c r="F189" s="67"/>
      <c r="G189" s="67"/>
      <c r="H189" s="67"/>
      <c r="I189" s="68"/>
      <c r="J189" s="59">
        <f>'[3]dod4 (2)'!$E$12</f>
        <v>171903468.53</v>
      </c>
      <c r="K189" s="67"/>
      <c r="L189" s="67"/>
      <c r="M189" s="67"/>
      <c r="N189" s="67"/>
      <c r="O189" s="67"/>
      <c r="P189" s="69">
        <f>E189+J189</f>
        <v>307297548</v>
      </c>
    </row>
    <row r="190" spans="1:26" x14ac:dyDescent="0.2">
      <c r="D190" s="4" t="s">
        <v>332</v>
      </c>
      <c r="E190" s="67">
        <f>[2]дод.4!$N$24</f>
        <v>300000</v>
      </c>
      <c r="F190" s="67"/>
      <c r="G190" s="67"/>
      <c r="H190" s="67"/>
      <c r="I190" s="68"/>
      <c r="J190" s="67">
        <f>[2]дод.4!$O$24</f>
        <v>861585</v>
      </c>
      <c r="K190" s="67"/>
      <c r="L190" s="67"/>
      <c r="M190" s="67"/>
      <c r="N190" s="67"/>
      <c r="O190" s="67"/>
      <c r="P190" s="69">
        <f>E190+J190</f>
        <v>1161585</v>
      </c>
    </row>
    <row r="191" spans="1:26" x14ac:dyDescent="0.2">
      <c r="D191" s="4" t="s">
        <v>333</v>
      </c>
      <c r="E191" s="59">
        <f>'[3]dod4 (2)'!$D$14</f>
        <v>-316808531.47000003</v>
      </c>
      <c r="F191" s="67"/>
      <c r="G191" s="67"/>
      <c r="H191" s="67"/>
      <c r="I191" s="68"/>
      <c r="J191" s="59">
        <f>'[3]dod4 (2)'!$E$14</f>
        <v>316808531.47000003</v>
      </c>
      <c r="K191" s="67"/>
      <c r="L191" s="67"/>
      <c r="M191" s="67"/>
      <c r="N191" s="67"/>
      <c r="O191" s="67"/>
      <c r="P191" s="69">
        <f>E191+J191</f>
        <v>0</v>
      </c>
    </row>
    <row r="192" spans="1:26" x14ac:dyDescent="0.2">
      <c r="D192" s="4" t="s">
        <v>334</v>
      </c>
      <c r="E192" s="67">
        <f>E183</f>
        <v>6635357898</v>
      </c>
      <c r="F192" s="67"/>
      <c r="G192" s="67"/>
      <c r="H192" s="67"/>
      <c r="I192" s="68"/>
      <c r="J192" s="67">
        <f>J183</f>
        <v>1197041900</v>
      </c>
      <c r="K192" s="67"/>
      <c r="L192" s="67"/>
      <c r="M192" s="67"/>
      <c r="N192" s="67"/>
      <c r="O192" s="67"/>
      <c r="P192" s="69">
        <f>E192+J192</f>
        <v>7832399798</v>
      </c>
    </row>
    <row r="193" spans="1:16" ht="15.75" x14ac:dyDescent="0.2">
      <c r="A193" s="70"/>
      <c r="B193" s="70"/>
      <c r="C193" s="70"/>
      <c r="D193" s="70" t="s">
        <v>335</v>
      </c>
      <c r="E193" s="131">
        <f>(E188+E189)-E190+E191-E192</f>
        <v>0</v>
      </c>
      <c r="F193" s="131">
        <f t="shared" ref="F193:P193" si="28">(F188+F189)-F190+F191-F192</f>
        <v>0</v>
      </c>
      <c r="G193" s="131">
        <f t="shared" si="28"/>
        <v>0</v>
      </c>
      <c r="H193" s="131">
        <f t="shared" si="28"/>
        <v>0</v>
      </c>
      <c r="I193" s="132">
        <f t="shared" si="28"/>
        <v>0</v>
      </c>
      <c r="J193" s="131">
        <f t="shared" si="28"/>
        <v>0</v>
      </c>
      <c r="K193" s="131"/>
      <c r="L193" s="131">
        <f t="shared" si="28"/>
        <v>0</v>
      </c>
      <c r="M193" s="131">
        <f t="shared" si="28"/>
        <v>0</v>
      </c>
      <c r="N193" s="131">
        <f t="shared" si="28"/>
        <v>0</v>
      </c>
      <c r="O193" s="131">
        <f t="shared" si="28"/>
        <v>0</v>
      </c>
      <c r="P193" s="131">
        <f t="shared" si="28"/>
        <v>0</v>
      </c>
    </row>
    <row r="197" spans="1:16" x14ac:dyDescent="0.2">
      <c r="J197" s="59">
        <f>K183-J191</f>
        <v>158508116.52999997</v>
      </c>
    </row>
  </sheetData>
  <autoFilter ref="B14:B183"/>
  <mergeCells count="25">
    <mergeCell ref="C9:C12"/>
    <mergeCell ref="P9:P12"/>
    <mergeCell ref="I10:I12"/>
    <mergeCell ref="O10:O12"/>
    <mergeCell ref="M11:M12"/>
    <mergeCell ref="G11:G12"/>
    <mergeCell ref="L2:P2"/>
    <mergeCell ref="L5:P5"/>
    <mergeCell ref="K4:P4"/>
    <mergeCell ref="M10:N10"/>
    <mergeCell ref="L10:L12"/>
    <mergeCell ref="A7:P7"/>
    <mergeCell ref="A9:A12"/>
    <mergeCell ref="J9:O9"/>
    <mergeCell ref="D9:D11"/>
    <mergeCell ref="B9:B12"/>
    <mergeCell ref="L3:P3"/>
    <mergeCell ref="H11:H12"/>
    <mergeCell ref="E9:I9"/>
    <mergeCell ref="E10:E12"/>
    <mergeCell ref="N11:N12"/>
    <mergeCell ref="G10:H10"/>
    <mergeCell ref="J10:J12"/>
    <mergeCell ref="F10:F12"/>
    <mergeCell ref="K10:K12"/>
  </mergeCells>
  <phoneticPr fontId="0" type="noConversion"/>
  <printOptions horizontalCentered="1"/>
  <pageMargins left="0.19685039370078741" right="0.19685039370078741" top="0.59055118110236227" bottom="0.19685039370078741" header="0" footer="0.19685039370078741"/>
  <pageSetup paperSize="9" scale="62" fitToHeight="15" orientation="landscape" r:id="rId1"/>
  <headerFooter alignWithMargins="0"/>
  <rowBreaks count="1" manualBreakCount="1">
    <brk id="14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дод 3</vt:lpstr>
      <vt:lpstr>'дод 3'!Заголовки_для_друку</vt:lpstr>
      <vt:lpstr>'дод 3'!Область_друку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Ричина Наталія Михайлівна</dc:creator>
  <cp:lastModifiedBy>Войтович</cp:lastModifiedBy>
  <cp:lastPrinted>2019-02-19T10:41:06Z</cp:lastPrinted>
  <dcterms:created xsi:type="dcterms:W3CDTF">2010-12-22T14:43:06Z</dcterms:created>
  <dcterms:modified xsi:type="dcterms:W3CDTF">2019-02-20T10:39:20Z</dcterms:modified>
</cp:coreProperties>
</file>