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7488" windowHeight="4140" tabRatio="945" activeTab="0"/>
  </bookViews>
  <sheets>
    <sheet name="дод 3" sheetId="1" r:id="rId1"/>
    <sheet name="Лист1" sheetId="2" r:id="rId2"/>
  </sheets>
  <externalReferences>
    <externalReference r:id="rId5"/>
    <externalReference r:id="rId6"/>
    <externalReference r:id="rId7"/>
  </externalReferences>
  <definedNames>
    <definedName name="_xlnm._FilterDatabase" localSheetId="0" hidden="1">'дод 3'!$B$14:$B$159</definedName>
    <definedName name="Z_262A3912_DD70_4B2A_8782_11241825DD41_.wvu.FilterData" localSheetId="0" hidden="1">'дод 3'!#REF!</definedName>
    <definedName name="Z_262A3912_DD70_4B2A_8782_11241825DD41_.wvu.PrintArea" localSheetId="0" hidden="1">'дод 3'!$B$1:$P$159</definedName>
    <definedName name="Z_262A3912_DD70_4B2A_8782_11241825DD41_.wvu.PrintTitles" localSheetId="0" hidden="1">'дод 3'!$9:$13</definedName>
    <definedName name="Z_55DE217F_7BCE_4030_A378_BBDB19AA32BC_.wvu.FilterData" localSheetId="0" hidden="1">'дод 3'!#REF!</definedName>
    <definedName name="Z_55DE217F_7BCE_4030_A378_BBDB19AA32BC_.wvu.PrintArea" localSheetId="0" hidden="1">'дод 3'!$B$1:$P$159</definedName>
    <definedName name="Z_55DE217F_7BCE_4030_A378_BBDB19AA32BC_.wvu.PrintTitles" localSheetId="0" hidden="1">'дод 3'!$9:$13</definedName>
    <definedName name="Z_8C514651_C019_48EB_BC9A_5CF7A7C062C3_.wvu.FilterData" localSheetId="0" hidden="1">'дод 3'!#REF!</definedName>
    <definedName name="Z_8C514651_C019_48EB_BC9A_5CF7A7C062C3_.wvu.PrintArea" localSheetId="0" hidden="1">'дод 3'!$B$1:$P$159</definedName>
    <definedName name="Z_8C514651_C019_48EB_BC9A_5CF7A7C062C3_.wvu.PrintTitles" localSheetId="0" hidden="1">'дод 3'!$9:$13</definedName>
    <definedName name="Z_A2EE22D5_0D01_4651_974A_DBB0B47E334C_.wvu.FilterData" localSheetId="0" hidden="1">'дод 3'!#REF!</definedName>
    <definedName name="Z_A2EE22D5_0D01_4651_974A_DBB0B47E334C_.wvu.PrintArea" localSheetId="0" hidden="1">'дод 3'!$B$1:$P$159</definedName>
    <definedName name="Z_A2EE22D5_0D01_4651_974A_DBB0B47E334C_.wvu.PrintTitles" localSheetId="0" hidden="1">'дод 3'!$9:$13</definedName>
    <definedName name="Z_B9ABD3DA_D8E6_4359_B122_CA96965080C7_.wvu.FilterData" localSheetId="0" hidden="1">'дод 3'!#REF!</definedName>
    <definedName name="Z_B9ABD3DA_D8E6_4359_B122_CA96965080C7_.wvu.PrintArea" localSheetId="0" hidden="1">'дод 3'!$B$1:$P$159</definedName>
    <definedName name="Z_B9ABD3DA_D8E6_4359_B122_CA96965080C7_.wvu.PrintTitles" localSheetId="0" hidden="1">'дод 3'!$9:$13</definedName>
    <definedName name="Z_CEC3A13C_C991_47CB_8169_8518E6DF0FD0_.wvu.FilterData" localSheetId="0" hidden="1">'дод 3'!#REF!</definedName>
    <definedName name="Z_CEC3A13C_C991_47CB_8169_8518E6DF0FD0_.wvu.PrintArea" localSheetId="0" hidden="1">'дод 3'!$B$1:$P$159</definedName>
    <definedName name="Z_CEC3A13C_C991_47CB_8169_8518E6DF0FD0_.wvu.PrintTitles" localSheetId="0" hidden="1">'дод 3'!$9:$13</definedName>
    <definedName name="Z_D73D0E9B_2717_48D0_8E2C_FF64265ACAB1_.wvu.FilterData" localSheetId="0" hidden="1">'дод 3'!#REF!</definedName>
    <definedName name="Z_D73D0E9B_2717_48D0_8E2C_FF64265ACAB1_.wvu.PrintArea" localSheetId="0" hidden="1">'дод 3'!$B$1:$P$159</definedName>
    <definedName name="Z_D73D0E9B_2717_48D0_8E2C_FF64265ACAB1_.wvu.PrintTitles" localSheetId="0" hidden="1">'дод 3'!$9:$13</definedName>
    <definedName name="Z_EBAA2E10_33D1_4ABA_B856_04E6905A93CB_.wvu.FilterData" localSheetId="0" hidden="1">'дод 3'!#REF!</definedName>
    <definedName name="Z_EBAA2E10_33D1_4ABA_B856_04E6905A93CB_.wvu.PrintArea" localSheetId="0" hidden="1">'дод 3'!$B$1:$P$159</definedName>
    <definedName name="Z_EBAA2E10_33D1_4ABA_B856_04E6905A93CB_.wvu.PrintTitles" localSheetId="0" hidden="1">'дод 3'!$9:$13</definedName>
    <definedName name="_xlnm.Print_Titles" localSheetId="0">'дод 3'!$9:$13</definedName>
    <definedName name="_xlnm.Print_Area" localSheetId="0">'дод 3'!$A$2:$P$159</definedName>
  </definedNames>
  <calcPr fullCalcOnLoad="1"/>
</workbook>
</file>

<file path=xl/sharedStrings.xml><?xml version="1.0" encoding="utf-8"?>
<sst xmlns="http://schemas.openxmlformats.org/spreadsheetml/2006/main" count="417" uniqueCount="307">
  <si>
    <t>Всього</t>
  </si>
  <si>
    <t>з них</t>
  </si>
  <si>
    <t>оплата праці</t>
  </si>
  <si>
    <t>комунальні послуги та енергоносії</t>
  </si>
  <si>
    <t>бюджет розвитку</t>
  </si>
  <si>
    <t>Разом</t>
  </si>
  <si>
    <t>0100000</t>
  </si>
  <si>
    <t>0110000</t>
  </si>
  <si>
    <t xml:space="preserve">до рішення обласної ради </t>
  </si>
  <si>
    <t>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</si>
  <si>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</si>
  <si>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Багатопрофільна стаціонарна медична допомога населенню</t>
  </si>
  <si>
    <t>Спеціалізована стаціонарна медична допомога населенню</t>
  </si>
  <si>
    <t>Санаторне лікування хворих на туберкульоз</t>
  </si>
  <si>
    <t>Санаторне лікування дітей та підлітків із соматичними захворюваннями (крім туберкульозу)</t>
  </si>
  <si>
    <t>Створення банків крові та її компонентів</t>
  </si>
  <si>
    <t>Спеціалізована амбулаторно-поліклінічна допомога населенню </t>
  </si>
  <si>
    <t>Надання стоматологічної допомоги населенню </t>
  </si>
  <si>
    <t>Проведення належної медико-соціальної  експертизи (МСЕК) </t>
  </si>
  <si>
    <t>Забезпечення централізованих заходів з лікування хворих на цукровий та нецукровий діабет</t>
  </si>
  <si>
    <t>Бібліотеки </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</si>
  <si>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</si>
  <si>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</si>
  <si>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Утримання закладів, що надають соціальні послуги дітям, які опинились в складних життєвих обставинах</t>
  </si>
  <si>
    <t>Підготовка кадрів вищими навчальними  закладами I і II рівнів акредитації </t>
  </si>
  <si>
    <t>Театри </t>
  </si>
  <si>
    <t>Філармонії, музичні колективи і ансамблі та інші мистецькі заклади та заходи </t>
  </si>
  <si>
    <t>Музеї і виставки </t>
  </si>
  <si>
    <t>Заповідники </t>
  </si>
  <si>
    <t>Інші субвенції</t>
  </si>
  <si>
    <t>Загальнообласні видатки</t>
  </si>
  <si>
    <t>0800000</t>
  </si>
  <si>
    <t>0810000</t>
  </si>
  <si>
    <t>Проведення навчально-тренувальних зборів і змагань з неолімпійських видів спорту</t>
  </si>
  <si>
    <t>Програми і заходи центрів соціальних служб для сім'ї, дітей та молоді</t>
  </si>
  <si>
    <t>Проведення навчально-тренувальних зборів і змагань та заходів з інвалідного спорту </t>
  </si>
  <si>
    <t>Забезпечення підготовки спортсменів вищих категорій школами вищої спортивної майстерності</t>
  </si>
  <si>
    <t xml:space="preserve">Всього видатків </t>
  </si>
  <si>
    <t>7610000</t>
  </si>
  <si>
    <t>2400000</t>
  </si>
  <si>
    <t>2410000</t>
  </si>
  <si>
    <t>Заходи державної політики з питань дітей та їх соціального захисту</t>
  </si>
  <si>
    <t>Реалізація заходів щодо інвестиційного розвитку території</t>
  </si>
  <si>
    <t>Інші видатки</t>
  </si>
  <si>
    <t>Інші видатки на соціальний захист населення</t>
  </si>
  <si>
    <t xml:space="preserve">Централізовані заходи з лікування онкологічних хворих </t>
  </si>
  <si>
    <t>0113400</t>
  </si>
  <si>
    <t>0118600</t>
  </si>
  <si>
    <t>Центри соціальних служб для сім'ї, дітей та молоді</t>
  </si>
  <si>
    <t>Програма і централізовані заходи боротьби з туберкульозом </t>
  </si>
  <si>
    <t>Утримання закладів, що надають соціальні послуги дітям, які опинились у складних життєвих обставинах</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</si>
  <si>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</si>
  <si>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</si>
  <si>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0818600</t>
  </si>
  <si>
    <t>Інші культурно-освітні заклади та заходи</t>
  </si>
  <si>
    <t>Код програмної класифікації видатків та кредитування місцевих бюджетів (КПКВК)</t>
  </si>
  <si>
    <t>видатки споживання</t>
  </si>
  <si>
    <t>видатки розвитку</t>
  </si>
  <si>
    <t>Код типової програмно класифікації видатків та кредитування місцевих бюджетів (КТПКВК)</t>
  </si>
  <si>
    <t>Код функціональної класифікації видатків та кредитування бюджету (КФКВКБ)</t>
  </si>
  <si>
    <t>16=5+10</t>
  </si>
  <si>
    <t>0421</t>
  </si>
  <si>
    <t>Заходи з проведення лабораторно-діагностичних, лікувально-профілактичних робіт, утримання ветеринарних лікарень та ветеринарних лабораторій</t>
  </si>
  <si>
    <t>0540</t>
  </si>
  <si>
    <t>Інша діяльність у сфері охорони навколишнього природного середовища (Обласний фонд охорони навколишнього природного середовища)</t>
  </si>
  <si>
    <t>0520</t>
  </si>
  <si>
    <t>Збереження природно-заповідного фонду (Обласний фонд охорони навколишнього природного середовища)</t>
  </si>
  <si>
    <t>1040</t>
  </si>
  <si>
    <t>Надання загальної середньої освіти загальноосвiтнiми школами-iнтернатами, загальноосвітніми санаторними школами-інтернатами</t>
  </si>
  <si>
    <t>0922</t>
  </si>
  <si>
    <t>1060</t>
  </si>
  <si>
    <t>0910</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</si>
  <si>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</si>
  <si>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</si>
  <si>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</si>
  <si>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</si>
  <si>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</si>
  <si>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0960</t>
  </si>
  <si>
    <t>Надання позашкільної освіти позашкільними закладами освіти, заходи із позашкільної роботи з дітьми</t>
  </si>
  <si>
    <t>1100</t>
  </si>
  <si>
    <t>0930</t>
  </si>
  <si>
    <t>1130</t>
  </si>
  <si>
    <t>0942</t>
  </si>
  <si>
    <t>Підготовка кадрів вищими навчальними закладами ІІІ і ІV рівнів акредитації </t>
  </si>
  <si>
    <t>1140</t>
  </si>
  <si>
    <t>0950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</si>
  <si>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</si>
  <si>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1170</t>
  </si>
  <si>
    <t>0990</t>
  </si>
  <si>
    <t>1190</t>
  </si>
  <si>
    <t>1210</t>
  </si>
  <si>
    <t>Утримання інших закладів освіти </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</si>
  <si>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</si>
  <si>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</si>
  <si>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5011</t>
  </si>
  <si>
    <t>0810</t>
  </si>
  <si>
    <t>5022</t>
  </si>
  <si>
    <t>0511</t>
  </si>
  <si>
    <t>Охорона та раціональне використання природних ресурсів (Обласний фонд охорони навколишнього природного середовища)</t>
  </si>
  <si>
    <t>9110</t>
  </si>
  <si>
    <r>
      <t xml:space="preserve">Департамент освіти і науки ОДА </t>
    </r>
    <r>
      <rPr>
        <sz val="10"/>
        <rFont val="Times New Roman"/>
        <family val="1"/>
      </rPr>
      <t>(головний розпорядник)</t>
    </r>
  </si>
  <si>
    <r>
      <t xml:space="preserve">Департамент освіти і науки ОДА </t>
    </r>
    <r>
      <rPr>
        <sz val="10"/>
        <rFont val="Times New Roman"/>
        <family val="1"/>
      </rPr>
      <t xml:space="preserve">(відповідальний виконавець) </t>
    </r>
  </si>
  <si>
    <t>0170</t>
  </si>
  <si>
    <t>0111</t>
  </si>
  <si>
    <t xml:space="preserve">Організаційне, інформаційно-аналітичне та матеріально-технічне забезпечення діяльності обласної  ради </t>
  </si>
  <si>
    <r>
      <t xml:space="preserve">Управління інформаційної діяльності та комунікацій з громадськістю ОДА </t>
    </r>
    <r>
      <rPr>
        <sz val="10"/>
        <rFont val="Times New Roman"/>
        <family val="1"/>
      </rPr>
      <t>(головний розпорядник)</t>
    </r>
  </si>
  <si>
    <r>
      <t xml:space="preserve">Управління інформаційної діяльності та комунікацій з громадськістю ОДА </t>
    </r>
    <r>
      <rPr>
        <sz val="10"/>
        <rFont val="Times New Roman"/>
        <family val="1"/>
      </rPr>
      <t xml:space="preserve">(відповідальний виконавець) </t>
    </r>
  </si>
  <si>
    <r>
      <t xml:space="preserve">Департамент  охорони здоров’я ОДА </t>
    </r>
    <r>
      <rPr>
        <sz val="10"/>
        <rFont val="Times New Roman"/>
        <family val="1"/>
      </rPr>
      <t xml:space="preserve">(відповідальний виконавець) </t>
    </r>
  </si>
  <si>
    <r>
      <t xml:space="preserve">Департамент  соціального захисту населення ОДА </t>
    </r>
    <r>
      <rPr>
        <sz val="10"/>
        <rFont val="Times New Roman"/>
        <family val="1"/>
      </rPr>
      <t xml:space="preserve">(відповідальний виконавець)  </t>
    </r>
  </si>
  <si>
    <r>
      <t xml:space="preserve">Служба у справах дітей ОДА </t>
    </r>
    <r>
      <rPr>
        <sz val="10"/>
        <rFont val="Times New Roman"/>
        <family val="1"/>
      </rPr>
      <t xml:space="preserve">(відповідальний виконавець) </t>
    </r>
  </si>
  <si>
    <r>
      <t xml:space="preserve">Департамент  охорони здоров’я ОДА </t>
    </r>
    <r>
      <rPr>
        <sz val="10"/>
        <rFont val="Times New Roman"/>
        <family val="1"/>
      </rPr>
      <t>(головний розпорядник)</t>
    </r>
  </si>
  <si>
    <r>
      <t xml:space="preserve">Департамент  соціального захисту населення ОДА </t>
    </r>
    <r>
      <rPr>
        <sz val="10"/>
        <rFont val="Times New Roman"/>
        <family val="1"/>
      </rPr>
      <t xml:space="preserve">(головний розпорядник) </t>
    </r>
  </si>
  <si>
    <r>
      <t>Служба у справах дітей ОДА</t>
    </r>
    <r>
      <rPr>
        <sz val="10"/>
        <rFont val="Times New Roman"/>
        <family val="1"/>
      </rPr>
      <t xml:space="preserve"> (головний розпорядник)</t>
    </r>
  </si>
  <si>
    <t>3400</t>
  </si>
  <si>
    <t>Інші видатки на соціальний захист населення  </t>
  </si>
  <si>
    <t>8600</t>
  </si>
  <si>
    <t xml:space="preserve">Іншi  видатки </t>
  </si>
  <si>
    <t>0133</t>
  </si>
  <si>
    <t>0180</t>
  </si>
  <si>
    <t>7618320</t>
  </si>
  <si>
    <t>8320</t>
  </si>
  <si>
    <t>7618340</t>
  </si>
  <si>
    <t>8340</t>
  </si>
  <si>
    <t>7618480</t>
  </si>
  <si>
    <t>8480</t>
  </si>
  <si>
    <t>7618010</t>
  </si>
  <si>
    <t>8010</t>
  </si>
  <si>
    <t>1120</t>
  </si>
  <si>
    <t>0941</t>
  </si>
  <si>
    <t>2010</t>
  </si>
  <si>
    <t>0731</t>
  </si>
  <si>
    <t>2030</t>
  </si>
  <si>
    <t>0732</t>
  </si>
  <si>
    <t>2060</t>
  </si>
  <si>
    <t>0734</t>
  </si>
  <si>
    <t>2070</t>
  </si>
  <si>
    <t>2090</t>
  </si>
  <si>
    <t>0761</t>
  </si>
  <si>
    <t>2100</t>
  </si>
  <si>
    <t>0762</t>
  </si>
  <si>
    <t>2110</t>
  </si>
  <si>
    <t>0724</t>
  </si>
  <si>
    <t>2130</t>
  </si>
  <si>
    <t>0722</t>
  </si>
  <si>
    <t>2140</t>
  </si>
  <si>
    <t>2170</t>
  </si>
  <si>
    <t>0740</t>
  </si>
  <si>
    <t>2190</t>
  </si>
  <si>
    <t>0763</t>
  </si>
  <si>
    <t>2200</t>
  </si>
  <si>
    <t>2212</t>
  </si>
  <si>
    <t>2214</t>
  </si>
  <si>
    <t>2215</t>
  </si>
  <si>
    <t>4060</t>
  </si>
  <si>
    <t>0824</t>
  </si>
  <si>
    <t>Підготовка кадрів вищими навчальними закладами І і ІІ рівнів акредитації </t>
  </si>
  <si>
    <t>Медико-соціальний захист дітей-сиріт і дітей, позбавлених батьківського піклування</t>
  </si>
  <si>
    <t>Надання екстреної та швидкої медичної допомоги населенню</t>
  </si>
  <si>
    <t>Інформаційно-методичне та просвітницьке забезпечення в галузі охорони здоров'я </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</si>
  <si>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</si>
  <si>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r>
      <t xml:space="preserve">Управління культури, національностей, релігій та туризму ОДА </t>
    </r>
    <r>
      <rPr>
        <sz val="10"/>
        <rFont val="Times New Roman"/>
        <family val="1"/>
      </rPr>
      <t xml:space="preserve"> (головний розпорядник)</t>
    </r>
  </si>
  <si>
    <r>
      <t xml:space="preserve">Управління культури, національностей, релігій та туризму ОДА  </t>
    </r>
    <r>
      <rPr>
        <sz val="10"/>
        <rFont val="Times New Roman"/>
        <family val="1"/>
      </rPr>
      <t>(відповідальний виконавець)</t>
    </r>
  </si>
  <si>
    <t>4020</t>
  </si>
  <si>
    <t>0821</t>
  </si>
  <si>
    <t>4030</t>
  </si>
  <si>
    <t>0822</t>
  </si>
  <si>
    <t>4070</t>
  </si>
  <si>
    <t>4080</t>
  </si>
  <si>
    <t>0827</t>
  </si>
  <si>
    <t>4200</t>
  </si>
  <si>
    <t>0829</t>
  </si>
  <si>
    <t>3101</t>
  </si>
  <si>
    <t>1010</t>
  </si>
  <si>
    <t>3102</t>
  </si>
  <si>
    <t>1020</t>
  </si>
  <si>
    <t>3202</t>
  </si>
  <si>
    <t>1030</t>
  </si>
  <si>
    <t>3220</t>
  </si>
  <si>
    <t>Інші установи та заклади</t>
  </si>
  <si>
    <t>3300</t>
  </si>
  <si>
    <t>3111</t>
  </si>
  <si>
    <t>3131</t>
  </si>
  <si>
    <t>3132</t>
  </si>
  <si>
    <t>3140</t>
  </si>
  <si>
    <t>3500</t>
  </si>
  <si>
    <t>3112</t>
  </si>
  <si>
    <t>5012</t>
  </si>
  <si>
    <t>5021</t>
  </si>
  <si>
    <t>5060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</si>
  <si>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</si>
  <si>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5033</t>
  </si>
  <si>
    <t>2220</t>
  </si>
  <si>
    <t>Інші заходи в галузі охорони здоров’я </t>
  </si>
  <si>
    <t>6310</t>
  </si>
  <si>
    <t>0490</t>
  </si>
  <si>
    <r>
      <t xml:space="preserve">Управління молоді та спорту ОДА </t>
    </r>
    <r>
      <rPr>
        <sz val="10"/>
        <rFont val="Times New Roman"/>
        <family val="1"/>
      </rPr>
      <t>(головний розпорядник)</t>
    </r>
  </si>
  <si>
    <r>
      <t xml:space="preserve">Управління молоді та спорту ОДА </t>
    </r>
    <r>
      <rPr>
        <sz val="10"/>
        <rFont val="Times New Roman"/>
        <family val="1"/>
      </rPr>
      <t xml:space="preserve">(відповідальний виконавець) </t>
    </r>
  </si>
  <si>
    <t>Загальний фонд</t>
  </si>
  <si>
    <t>Спеціальний фонд</t>
  </si>
  <si>
    <r>
      <t>Департамент агропромислового розвитку ОДА</t>
    </r>
    <r>
      <rPr>
        <sz val="10"/>
        <rFont val="Times New Roman"/>
        <family val="1"/>
      </rPr>
      <t xml:space="preserve"> (відповідальний виконавець)</t>
    </r>
  </si>
  <si>
    <r>
      <t>Департамент агропромислового розвитку ОДА</t>
    </r>
    <r>
      <rPr>
        <i/>
        <sz val="10"/>
        <rFont val="Times New Roman"/>
        <family val="1"/>
      </rPr>
      <t xml:space="preserve"> </t>
    </r>
    <r>
      <rPr>
        <sz val="10"/>
        <rFont val="Times New Roman"/>
        <family val="1"/>
      </rPr>
      <t>(головний розпорядник)</t>
    </r>
  </si>
  <si>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</si>
  <si>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</si>
  <si>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грн.</t>
  </si>
  <si>
    <t>Найменування головного розпорядника</t>
  </si>
  <si>
    <t xml:space="preserve"> відповідального виконавця, бюджетної програми або напрямку видатків згідно з типовою відомчою (ТПКВКМБ)</t>
  </si>
  <si>
    <t>0110170</t>
  </si>
  <si>
    <t>7618800</t>
  </si>
  <si>
    <t>8800</t>
  </si>
  <si>
    <t>5010</t>
  </si>
  <si>
    <t>5020</t>
  </si>
  <si>
    <t>Проведення спортивної роботи в регіоні</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</si>
  <si>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</si>
  <si>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</si>
  <si>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3200</t>
  </si>
  <si>
    <t>Соціальний захист ветеранів війни та праці</t>
  </si>
  <si>
    <t>3110</t>
  </si>
  <si>
    <t>Заклади і заходи з питань дітей та їх соціального захисту</t>
  </si>
  <si>
    <t>3130</t>
  </si>
  <si>
    <t>Здійснення соціальної роботи з вразливими категоріями населення</t>
  </si>
  <si>
    <t>Здійснення фізкультурно-спортивної та реабілітаційної роботи серед інвалідів</t>
  </si>
  <si>
    <t>2210</t>
  </si>
  <si>
    <t>Програми і централізовані заходи у галузі охорони здоров’я</t>
  </si>
  <si>
    <t>7618260</t>
  </si>
  <si>
    <t>8260</t>
  </si>
  <si>
    <t xml:space="preserve">Резервний фонд </t>
  </si>
  <si>
    <r>
      <t xml:space="preserve">Хмельницька обласна рада (апарат обласної ради) </t>
    </r>
    <r>
      <rPr>
        <sz val="10"/>
        <rFont val="Times New Roman"/>
        <family val="1"/>
      </rPr>
      <t>(головний розпорядник)</t>
    </r>
  </si>
  <si>
    <r>
      <t xml:space="preserve">Хмельницька обласна рада (апарат обласної ради)  </t>
    </r>
    <r>
      <rPr>
        <sz val="10"/>
        <rFont val="Times New Roman"/>
        <family val="1"/>
      </rPr>
      <t xml:space="preserve">(відповідальний виконавець) </t>
    </r>
  </si>
  <si>
    <r>
      <t>Департамент фінансів ОДА</t>
    </r>
    <r>
      <rPr>
        <sz val="10"/>
        <rFont val="Times New Roman"/>
        <family val="1"/>
      </rPr>
      <t xml:space="preserve"> (в частині міжбюджетних трансфертів, резервного фонду)(головний розпорядник)</t>
    </r>
  </si>
  <si>
    <r>
      <t xml:space="preserve">Департамент екології та природних ресурсів ОДА </t>
    </r>
    <r>
      <rPr>
        <sz val="10"/>
        <rFont val="Times New Roman"/>
        <family val="1"/>
      </rPr>
      <t>(головний розпорядник)</t>
    </r>
  </si>
  <si>
    <r>
      <t xml:space="preserve">Департамент екології та природних ресурсів ОДА </t>
    </r>
    <r>
      <rPr>
        <sz val="10"/>
        <rFont val="Times New Roman"/>
        <family val="1"/>
      </rPr>
      <t>(відповідальний виконавець)</t>
    </r>
  </si>
  <si>
    <t>Підготовка робітничих кадрів професійно-технічними закладами та іншими закладами освіти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</si>
  <si>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</si>
  <si>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</si>
  <si>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5031</t>
  </si>
  <si>
    <t>Розвиток дитячо-юнацького та резервного спорту</t>
  </si>
  <si>
    <t>5030</t>
  </si>
  <si>
    <t>Фінансова підтримка дитячо-юнацьких спортивних шкіл фізкультурно-спортивних товариств</t>
  </si>
  <si>
    <t>5032</t>
  </si>
  <si>
    <t>5053</t>
  </si>
  <si>
    <t>Фінансова підтримка на утримання місцевих осередків (рад) всеукраїнських організацій фізкультурно-спортивної спрямованості</t>
  </si>
  <si>
    <t>Утримання центрів з інвалідного спорту і реабілітаційних шкіл</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</si>
  <si>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</si>
  <si>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</si>
  <si>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</si>
  <si>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Підтримка спорту вищих досягнень та організацій, які здійснюють фізкультурно-спортивну діяльність в регіоні</t>
  </si>
  <si>
    <t>5062</t>
  </si>
  <si>
    <t>Реалізація державної політики у молодіжній сфері</t>
  </si>
  <si>
    <t>3141</t>
  </si>
  <si>
    <t>5050</t>
  </si>
  <si>
    <t>Підтримка фізкультурно-спортивного руху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</si>
  <si>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</si>
  <si>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r>
      <t xml:space="preserve">Департамент фінансів ОДА </t>
    </r>
    <r>
      <rPr>
        <sz val="10"/>
        <rFont val="Times New Roman"/>
        <family val="1"/>
      </rPr>
      <t>(відповідальний виконавець)</t>
    </r>
  </si>
  <si>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</si>
  <si>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Здійснення заходів та реалізація пректів на виконання Державної цільової соціальної програми "Молодь України"</t>
  </si>
  <si>
    <t>"Про внесення змін до обласного бюджету на 2017 рік"</t>
  </si>
  <si>
    <t>7618610</t>
  </si>
  <si>
    <t>Субвенція за рахунок залишку коштів освітньої субвенції з державного бюджету місцевим бюджетам, що утворився на початок бюджетного періоду (на придбання шкільних автобусів для перевезення дітей, що проживають у сільській місцевості)</t>
  </si>
  <si>
    <t>Субвенція за рахунок залишку коштів освітньої субвенції з державного бюджету місцевим бюджетам, що утворився на початок бюджетного періоду (на здійснення заходів у сфері енергоефективності та енергозбереження)</t>
  </si>
  <si>
    <t>Субвенція з місцевого бюджету державному бюджету на виконання програм соціально-економічного та культурного розвитку регіонів  (Комплексна програма профілактики правопорушень на 2016-2020 роки)</t>
  </si>
  <si>
    <t>7618370</t>
  </si>
  <si>
    <t>8370</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</si>
  <si>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у Хмельницькій області на 2014-2018 роки)</t>
  </si>
  <si>
    <t>Субвенція з місцевого бюджету державному бюджету на виконання програм соціально-економічного та культурного розвитку регіонів  (Обласна програма правової освіти населення на 2016-2020 роки)</t>
  </si>
  <si>
    <t>Надання та повернення пільгового довгострокового кредиту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</si>
  <si>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</si>
  <si>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0512</t>
  </si>
  <si>
    <t>Утилізація відходів (Обласний фонд охорони навколишнього природного середовища)</t>
  </si>
  <si>
    <t>Субвенція за рахунок залишку коштів освітньої субвенції з державного бюджету місцевим бюджетам, що утворився на початок бюджетного періоду (на оснащення загальноосвітніх навчальних закладів з поглибленим вивченням природничих та математичних предметів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t>
  </si>
  <si>
    <t>Субвенція з державного бюджету місцевим бюджетам на проведення виборів депутатів місцевих рад та сільських, селищних, міських голів</t>
  </si>
  <si>
    <t>7618510</t>
  </si>
  <si>
    <t>7618580</t>
  </si>
  <si>
    <t xml:space="preserve">від ____________№____ </t>
  </si>
  <si>
    <r>
      <t xml:space="preserve">Управління регіонального розвитку  та будівництва ОДА </t>
    </r>
    <r>
      <rPr>
        <i/>
        <sz val="10"/>
        <rFont val="Times New Roman"/>
        <family val="1"/>
      </rPr>
      <t>(головний розпорядник)</t>
    </r>
  </si>
  <si>
    <r>
      <t xml:space="preserve">Управління регіонального розвитку та будівництва ОДА 
</t>
    </r>
    <r>
      <rPr>
        <i/>
        <sz val="10"/>
        <rFont val="Times New Roman"/>
        <family val="1"/>
      </rPr>
      <t>(відповідальний виконавець)</t>
    </r>
    <r>
      <rPr>
        <b/>
        <sz val="10"/>
        <rFont val="Times New Roman"/>
        <family val="1"/>
      </rPr>
      <t xml:space="preserve"> </t>
    </r>
  </si>
  <si>
    <t>8420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</si>
  <si>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</si>
  <si>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8390</t>
  </si>
  <si>
    <t>Медична субвенція з державного бюджету місцевим бюджетам (цільові видатки на лікування хворих на цукровий діабет)</t>
  </si>
  <si>
    <r>
      <t xml:space="preserve">Департамент економічного розвитку, промисловості та інфраструктури ОДА </t>
    </r>
    <r>
      <rPr>
        <sz val="10"/>
        <rFont val="Times New Roman"/>
        <family val="1"/>
      </rPr>
      <t>(головний розпорядник)</t>
    </r>
  </si>
  <si>
    <r>
      <t xml:space="preserve">Департамент економічного розвитку, промисловості та інфраструктури ОДА 
</t>
    </r>
    <r>
      <rPr>
        <sz val="10"/>
        <rFont val="Times New Roman"/>
        <family val="1"/>
      </rPr>
      <t>(відповідальний виконавець)</t>
    </r>
    <r>
      <rPr>
        <b/>
        <sz val="10"/>
        <rFont val="Times New Roman"/>
        <family val="1"/>
      </rPr>
      <t xml:space="preserve"> </t>
    </r>
  </si>
  <si>
    <t>6680</t>
  </si>
  <si>
    <t>0456</t>
  </si>
  <si>
    <t>Здійснення заходів в рамках проведення експерименту з розвитку автомобільних доріг загального користування в усіх областях та м.Києві, а також дорожньої інфраструктури у м.Києві</t>
  </si>
  <si>
    <t xml:space="preserve">Субенція з державного бюджету місцевим бюджетам на надання державної підтримки особам з особливими освітніми потребами </t>
  </si>
  <si>
    <t>7618630</t>
  </si>
  <si>
    <t>8630</t>
  </si>
  <si>
    <t>Доходи</t>
  </si>
  <si>
    <t>Вільні лишки на 1.01.2016</t>
  </si>
  <si>
    <t>Кредитування</t>
  </si>
  <si>
    <t>Передача до бюджету розвитку</t>
  </si>
  <si>
    <t>Всього видатків</t>
  </si>
  <si>
    <t>Баланс</t>
  </si>
  <si>
    <t>Додаток 3
до рішення обласної ради
"Про внесення змін до обласного бюджету на 2016 рік"</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</si>
  <si>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</si>
  <si>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</si>
  <si>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5317330</t>
  </si>
  <si>
    <t>Програми в галузі сільського господарства, лісового господарства, рибальства та мисливства</t>
  </si>
  <si>
    <t>Утримання та розвиток інфраструктури доріг</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</si>
  <si>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</si>
  <si>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місцевого бюджету державному бюджету на виконання програм соціально-економічного та культурного розвитку регіонів  (Програма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2016-2019 роки)</t>
  </si>
  <si>
    <t>Субвенція з місцевого бюджету державному бюджету на виконання програм соціально-економічного та культурного розвитку регіонів  (Регіональна програма підвищення енергоефективності Хмельницької області на 2017-2021 роки)</t>
  </si>
  <si>
    <t xml:space="preserve">Розподіл видатків обласного бюджету на 2017 рік </t>
  </si>
  <si>
    <t>7618660</t>
  </si>
  <si>
    <t>Субвенція з державного бюджету місцевим бюджетам на відшкодування вартості лікарських засобів для лікування окремих захворювань</t>
  </si>
  <si>
    <t>8660</t>
  </si>
  <si>
    <t xml:space="preserve">Субвенція за рахунок залишку коштів освітньої субвенції з державного бюджету місцевим бюджетам, що утворився на початок бюджетного періоду </t>
  </si>
</sst>
</file>

<file path=xl/styles.xml><?xml version="1.0" encoding="utf-8"?>
<styleSheet xmlns="http://schemas.openxmlformats.org/spreadsheetml/2006/main">
  <numFmts count="3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000"/>
    <numFmt numFmtId="187" formatCode="#,##0.00000"/>
    <numFmt numFmtId="188" formatCode="#,##0.0000"/>
    <numFmt numFmtId="189" formatCode="#,##0.000"/>
    <numFmt numFmtId="190" formatCode="#,##0.0;[Red]#,##0.0"/>
  </numFmts>
  <fonts count="41">
    <font>
      <sz val="10"/>
      <color indexed="8"/>
      <name val="MS Sans Serif"/>
      <family val="0"/>
    </font>
    <font>
      <b/>
      <sz val="8.05"/>
      <color indexed="8"/>
      <name val="Times New Roman"/>
      <family val="0"/>
    </font>
    <font>
      <sz val="8.05"/>
      <color indexed="8"/>
      <name val="Times New Roman"/>
      <family val="0"/>
    </font>
    <font>
      <b/>
      <sz val="14.05"/>
      <color indexed="8"/>
      <name val="Times New Roman"/>
      <family val="0"/>
    </font>
    <font>
      <sz val="10"/>
      <color indexed="8"/>
      <name val="Times New Roman"/>
      <family val="1"/>
    </font>
    <font>
      <u val="single"/>
      <sz val="11.5"/>
      <color indexed="12"/>
      <name val="MS Sans Serif"/>
      <family val="2"/>
    </font>
    <font>
      <u val="single"/>
      <sz val="11.5"/>
      <color indexed="36"/>
      <name val="MS Sans Serif"/>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color indexed="10"/>
      <name val="Times New Roman"/>
      <family val="1"/>
    </font>
    <font>
      <sz val="11"/>
      <name val="Times New Roman"/>
      <family val="1"/>
    </font>
    <font>
      <i/>
      <sz val="10"/>
      <color indexed="10"/>
      <name val="Times New Roman"/>
      <family val="1"/>
    </font>
    <font>
      <i/>
      <sz val="10"/>
      <name val="Times New Roman"/>
      <family val="1"/>
    </font>
    <font>
      <sz val="11"/>
      <color indexed="8"/>
      <name val="Times New Roman"/>
      <family val="1"/>
    </font>
    <font>
      <sz val="10"/>
      <name val="Helv"/>
      <family val="0"/>
    </font>
    <font>
      <b/>
      <i/>
      <sz val="10"/>
      <name val="Times New Roman"/>
      <family val="1"/>
    </font>
    <font>
      <b/>
      <sz val="14"/>
      <name val="Times New Roman"/>
      <family val="1"/>
    </font>
    <font>
      <sz val="8"/>
      <name val="Times New Roman"/>
      <family val="1"/>
    </font>
    <font>
      <sz val="8"/>
      <name val="Tahoma"/>
      <family val="2"/>
    </font>
    <font>
      <b/>
      <sz val="10"/>
      <color indexed="10"/>
      <name val="Times New Roman"/>
      <family val="1"/>
    </font>
    <font>
      <b/>
      <sz val="11"/>
      <color indexed="10"/>
      <name val="Times New Roman"/>
      <family val="1"/>
    </font>
    <font>
      <sz val="9"/>
      <name val="Times New Roman"/>
      <family val="1"/>
    </font>
    <font>
      <sz val="10"/>
      <name val="Arial Cyr"/>
      <family val="0"/>
    </font>
    <font>
      <b/>
      <sz val="10"/>
      <name val="Arial Cyr"/>
      <family val="0"/>
    </font>
    <font>
      <b/>
      <sz val="10"/>
      <color indexed="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3">
    <xf numFmtId="0" fontId="3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6"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4" fillId="6" borderId="0" applyNumberFormat="0" applyBorder="0" applyAlignment="0" applyProtection="0"/>
  </cellStyleXfs>
  <cellXfs count="149">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vertical="center"/>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3" fontId="8"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49" fontId="8" fillId="0" borderId="10" xfId="0" applyNumberFormat="1" applyFont="1" applyFill="1" applyBorder="1" applyAlignment="1">
      <alignment horizontal="center" vertical="center" wrapText="1"/>
    </xf>
    <xf numFmtId="3" fontId="7"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185" fontId="7" fillId="0" borderId="11" xfId="0" applyNumberFormat="1"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3" fontId="7" fillId="0" borderId="10"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3" fontId="8" fillId="0" borderId="10" xfId="0" applyNumberFormat="1" applyFont="1" applyFill="1" applyBorder="1" applyAlignment="1">
      <alignment vertical="center"/>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right" vertical="center"/>
      <protection/>
    </xf>
    <xf numFmtId="49" fontId="7"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178" fontId="4" fillId="0" borderId="0" xfId="43" applyFont="1" applyFill="1" applyBorder="1" applyAlignment="1" applyProtection="1">
      <alignment horizontal="center" vertical="center"/>
      <protection/>
    </xf>
    <xf numFmtId="0" fontId="7" fillId="0" borderId="10"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10" xfId="0" applyFont="1" applyFill="1" applyBorder="1" applyAlignment="1" applyProtection="1">
      <alignment horizontal="left" vertical="center" wrapText="1" shrinkToFit="1"/>
      <protection locked="0"/>
    </xf>
    <xf numFmtId="0" fontId="8" fillId="0" borderId="10" xfId="0" applyFont="1" applyFill="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185" fontId="8"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185"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protection/>
    </xf>
    <xf numFmtId="3" fontId="8" fillId="0" borderId="10" xfId="42" applyNumberFormat="1" applyFont="1" applyFill="1" applyBorder="1" applyAlignment="1" applyProtection="1">
      <alignment horizontal="center" vertical="center" wrapText="1"/>
      <protection/>
    </xf>
    <xf numFmtId="3" fontId="8" fillId="0" borderId="10" xfId="0" applyNumberFormat="1" applyFont="1" applyFill="1" applyBorder="1" applyAlignment="1">
      <alignment horizontal="center" vertical="center"/>
    </xf>
    <xf numFmtId="3" fontId="8" fillId="0" borderId="11" xfId="0" applyNumberFormat="1" applyFont="1" applyFill="1" applyBorder="1" applyAlignment="1">
      <alignment horizontal="center" vertical="top" wrapText="1"/>
    </xf>
    <xf numFmtId="0" fontId="8" fillId="0" borderId="12" xfId="0" applyFont="1" applyFill="1" applyBorder="1" applyAlignment="1">
      <alignment horizontal="left" vertical="center" wrapText="1"/>
    </xf>
    <xf numFmtId="0" fontId="8" fillId="0" borderId="13" xfId="0" applyFont="1" applyFill="1" applyBorder="1" applyAlignment="1">
      <alignment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xf>
    <xf numFmtId="3" fontId="8" fillId="0" borderId="10" xfId="0" applyNumberFormat="1" applyFont="1" applyFill="1" applyBorder="1" applyAlignment="1">
      <alignment vertical="center"/>
    </xf>
    <xf numFmtId="3" fontId="8" fillId="0" borderId="0" xfId="0" applyNumberFormat="1" applyFont="1" applyFill="1" applyBorder="1" applyAlignment="1" applyProtection="1">
      <alignment horizontal="right" vertical="center"/>
      <protection/>
    </xf>
    <xf numFmtId="3" fontId="7" fillId="0" borderId="0" xfId="0" applyNumberFormat="1" applyFont="1" applyFill="1" applyBorder="1" applyAlignment="1">
      <alignment vertical="center" wrapText="1"/>
    </xf>
    <xf numFmtId="0" fontId="8" fillId="0" borderId="0" xfId="0" applyNumberFormat="1"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185" fontId="28" fillId="0" borderId="10" xfId="0" applyNumberFormat="1" applyFont="1" applyFill="1" applyBorder="1" applyAlignment="1">
      <alignment horizontal="left" vertical="center" wrapText="1"/>
    </xf>
    <xf numFmtId="3" fontId="28"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xf>
    <xf numFmtId="3" fontId="28" fillId="0" borderId="10" xfId="0" applyNumberFormat="1" applyFont="1" applyFill="1" applyBorder="1" applyAlignment="1">
      <alignment vertical="center"/>
    </xf>
    <xf numFmtId="3" fontId="31" fillId="0" borderId="0" xfId="0" applyNumberFormat="1" applyFont="1" applyFill="1" applyBorder="1" applyAlignment="1">
      <alignment vertical="center" wrapText="1"/>
    </xf>
    <xf numFmtId="3" fontId="31"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3" fontId="28" fillId="0" borderId="10"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31"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left" vertical="center" wrapText="1"/>
    </xf>
    <xf numFmtId="0" fontId="25"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horizontal="center" vertical="center"/>
      <protection/>
    </xf>
    <xf numFmtId="0" fontId="26" fillId="0" borderId="15"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shrinkToFit="1"/>
      <protection/>
    </xf>
    <xf numFmtId="0" fontId="26" fillId="0" borderId="1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center" vertical="center" wrapText="1"/>
      <protection/>
    </xf>
    <xf numFmtId="3" fontId="8" fillId="0" borderId="10" xfId="0" applyNumberFormat="1" applyFont="1" applyFill="1" applyBorder="1" applyAlignment="1" applyProtection="1">
      <alignment vertical="center" wrapText="1"/>
      <protection/>
    </xf>
    <xf numFmtId="3" fontId="35" fillId="0" borderId="0" xfId="0" applyNumberFormat="1" applyFont="1" applyFill="1" applyBorder="1" applyAlignment="1">
      <alignment vertical="center" wrapText="1"/>
    </xf>
    <xf numFmtId="3" fontId="25" fillId="0" borderId="0" xfId="0" applyNumberFormat="1" applyFont="1" applyFill="1" applyBorder="1" applyAlignment="1" applyProtection="1">
      <alignment vertical="center"/>
      <protection/>
    </xf>
    <xf numFmtId="3" fontId="35" fillId="0" borderId="0" xfId="0" applyNumberFormat="1" applyFont="1" applyFill="1" applyBorder="1" applyAlignment="1" applyProtection="1">
      <alignment vertical="center"/>
      <protection/>
    </xf>
    <xf numFmtId="0" fontId="36" fillId="0" borderId="0"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4" fontId="7" fillId="0" borderId="10"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49" fontId="37" fillId="0" borderId="16"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horizontal="center" vertical="center" wrapText="1"/>
      <protection/>
    </xf>
    <xf numFmtId="49" fontId="8"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shrinkToFit="1"/>
    </xf>
    <xf numFmtId="3" fontId="8" fillId="0" borderId="14"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3" fontId="8" fillId="0" borderId="10" xfId="0" applyNumberFormat="1" applyFont="1" applyFill="1" applyBorder="1" applyAlignment="1" applyProtection="1">
      <alignment horizontal="center" vertical="center" wrapText="1"/>
      <protection/>
    </xf>
    <xf numFmtId="3" fontId="28" fillId="0" borderId="10" xfId="0" applyNumberFormat="1" applyFont="1" applyFill="1" applyBorder="1" applyAlignment="1" applyProtection="1">
      <alignment horizontal="center" vertical="center" wrapText="1"/>
      <protection/>
    </xf>
    <xf numFmtId="0" fontId="8" fillId="0" borderId="11" xfId="0" applyFont="1" applyFill="1" applyBorder="1" applyAlignment="1">
      <alignment vertical="center" wrapText="1"/>
    </xf>
    <xf numFmtId="0" fontId="7" fillId="0" borderId="10" xfId="0" applyFont="1" applyFill="1" applyBorder="1" applyAlignment="1">
      <alignment horizontal="justify" vertical="center" wrapText="1"/>
    </xf>
    <xf numFmtId="3" fontId="7" fillId="0" borderId="10" xfId="0" applyNumberFormat="1" applyFont="1" applyFill="1" applyBorder="1" applyAlignment="1" applyProtection="1">
      <alignment horizontal="center" vertical="center" wrapText="1"/>
      <protection/>
    </xf>
    <xf numFmtId="3"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vertical="center" wrapText="1"/>
    </xf>
    <xf numFmtId="0" fontId="28" fillId="0" borderId="10" xfId="0" applyFont="1" applyFill="1" applyBorder="1" applyAlignment="1">
      <alignment vertical="center" wrapText="1"/>
    </xf>
    <xf numFmtId="3" fontId="28"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vertical="center" wrapText="1"/>
    </xf>
    <xf numFmtId="0" fontId="8" fillId="0" borderId="16"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left" vertical="center" wrapText="1"/>
    </xf>
    <xf numFmtId="0" fontId="38" fillId="0" borderId="0" xfId="0" applyFont="1" applyFill="1" applyAlignment="1">
      <alignment/>
    </xf>
    <xf numFmtId="0" fontId="39" fillId="0" borderId="0" xfId="0" applyFont="1" applyFill="1" applyAlignment="1">
      <alignment/>
    </xf>
    <xf numFmtId="3" fontId="7" fillId="0" borderId="0" xfId="0" applyNumberFormat="1" applyFont="1" applyFill="1" applyBorder="1" applyAlignment="1" applyProtection="1">
      <alignment horizontal="right" vertical="center"/>
      <protection/>
    </xf>
    <xf numFmtId="0" fontId="40" fillId="0" borderId="0" xfId="0" applyNumberFormat="1" applyFont="1" applyFill="1" applyBorder="1" applyAlignment="1" applyProtection="1">
      <alignment vertical="center"/>
      <protection/>
    </xf>
    <xf numFmtId="0" fontId="8" fillId="0" borderId="0" xfId="0" applyFont="1" applyFill="1" applyBorder="1" applyAlignment="1">
      <alignment vertical="center" wrapText="1"/>
    </xf>
    <xf numFmtId="3" fontId="25" fillId="0" borderId="0" xfId="0" applyNumberFormat="1" applyFont="1" applyFill="1" applyBorder="1" applyAlignment="1" applyProtection="1">
      <alignment horizontal="right" vertical="center"/>
      <protection/>
    </xf>
    <xf numFmtId="3" fontId="25" fillId="0" borderId="0" xfId="0" applyNumberFormat="1" applyFont="1" applyFill="1" applyBorder="1" applyAlignment="1">
      <alignment vertical="center" wrapText="1"/>
    </xf>
    <xf numFmtId="4" fontId="25" fillId="0" borderId="0" xfId="0" applyNumberFormat="1" applyFont="1" applyFill="1" applyBorder="1" applyAlignment="1" applyProtection="1">
      <alignment vertical="center"/>
      <protection/>
    </xf>
    <xf numFmtId="4" fontId="8" fillId="0" borderId="0" xfId="0" applyNumberFormat="1" applyFont="1"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protection/>
    </xf>
    <xf numFmtId="4" fontId="7" fillId="0" borderId="0" xfId="0" applyNumberFormat="1" applyFont="1" applyFill="1" applyBorder="1" applyAlignment="1" applyProtection="1">
      <alignment horizontal="right" vertical="center"/>
      <protection/>
    </xf>
    <xf numFmtId="4" fontId="7" fillId="0" borderId="10" xfId="0" applyNumberFormat="1" applyFont="1" applyFill="1" applyBorder="1" applyAlignment="1">
      <alignment horizontal="right" vertical="center" wrapText="1"/>
    </xf>
    <xf numFmtId="3" fontId="8" fillId="0" borderId="12"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0" xfId="0" applyFont="1" applyFill="1" applyBorder="1" applyAlignment="1">
      <alignment wrapText="1"/>
    </xf>
    <xf numFmtId="4" fontId="7" fillId="0" borderId="10" xfId="0" applyNumberFormat="1" applyFont="1" applyFill="1" applyBorder="1" applyAlignment="1">
      <alignment vertical="center" wrapText="1"/>
    </xf>
    <xf numFmtId="4" fontId="8" fillId="0" borderId="10" xfId="0" applyNumberFormat="1" applyFont="1" applyFill="1" applyBorder="1" applyAlignment="1">
      <alignment horizontal="center" vertical="center" wrapText="1"/>
    </xf>
    <xf numFmtId="2" fontId="8" fillId="0" borderId="14" xfId="0" applyNumberFormat="1" applyFont="1" applyFill="1" applyBorder="1" applyAlignment="1">
      <alignment horizontal="left" vertical="center" wrapText="1"/>
    </xf>
    <xf numFmtId="0" fontId="28" fillId="0" borderId="14" xfId="0" applyNumberFormat="1" applyFont="1" applyFill="1" applyBorder="1" applyAlignment="1" applyProtection="1">
      <alignment horizontal="center" vertical="center" wrapText="1" shrinkToFit="1"/>
      <protection/>
    </xf>
    <xf numFmtId="0" fontId="28" fillId="0" borderId="17" xfId="0" applyNumberFormat="1" applyFont="1" applyFill="1" applyBorder="1" applyAlignment="1" applyProtection="1">
      <alignment horizontal="center" vertical="center" wrapText="1" shrinkToFit="1"/>
      <protection/>
    </xf>
    <xf numFmtId="0" fontId="28" fillId="0" borderId="16" xfId="0" applyNumberFormat="1" applyFont="1" applyFill="1" applyBorder="1" applyAlignment="1" applyProtection="1">
      <alignment horizontal="center" vertical="center" wrapText="1" shrinkToFit="1"/>
      <protection/>
    </xf>
    <xf numFmtId="0" fontId="26" fillId="0" borderId="0" xfId="0" applyNumberFormat="1" applyFont="1" applyFill="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178" fontId="8" fillId="0" borderId="0" xfId="43" applyFont="1" applyFill="1" applyBorder="1" applyAlignment="1" applyProtection="1">
      <alignment horizontal="center" vertical="center"/>
      <protection/>
    </xf>
    <xf numFmtId="0" fontId="33" fillId="0" borderId="14" xfId="0" applyNumberFormat="1" applyFont="1" applyFill="1" applyBorder="1" applyAlignment="1" applyProtection="1">
      <alignment horizontal="center" vertical="center" wrapText="1" shrinkToFit="1"/>
      <protection/>
    </xf>
    <xf numFmtId="0" fontId="33" fillId="0" borderId="17" xfId="0" applyNumberFormat="1" applyFont="1" applyFill="1" applyBorder="1" applyAlignment="1" applyProtection="1">
      <alignment horizontal="center" vertical="center" wrapText="1" shrinkToFit="1"/>
      <protection/>
    </xf>
    <xf numFmtId="0" fontId="33" fillId="0" borderId="16" xfId="0" applyNumberFormat="1" applyFont="1" applyFill="1" applyBorder="1" applyAlignment="1" applyProtection="1">
      <alignment horizontal="center" vertical="center" wrapText="1" shrinkToFit="1"/>
      <protection/>
    </xf>
    <xf numFmtId="0" fontId="8" fillId="0" borderId="10" xfId="0" applyNumberFormat="1" applyFont="1" applyFill="1" applyBorder="1" applyAlignment="1" applyProtection="1">
      <alignment horizontal="center" vertical="center" wrapText="1" shrinkToFit="1"/>
      <protection/>
    </xf>
    <xf numFmtId="0" fontId="8" fillId="0" borderId="1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3" fontId="8" fillId="0" borderId="14" xfId="0" applyNumberFormat="1" applyFont="1" applyFill="1" applyBorder="1" applyAlignment="1">
      <alignment vertical="center" wrapText="1"/>
    </xf>
    <xf numFmtId="49" fontId="8" fillId="0" borderId="14" xfId="0" applyNumberFormat="1" applyFont="1" applyFill="1" applyBorder="1" applyAlignment="1">
      <alignment horizontal="left" vertical="center" wrapText="1"/>
    </xf>
    <xf numFmtId="3" fontId="26" fillId="0" borderId="10" xfId="0" applyNumberFormat="1"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5;&#1044;&#1054;&#1056;&#1059;&#1050;\&#1041;&#1102;&#1076;&#1078;&#1077;&#1090;%202017\&#1059;&#1090;&#1086;&#1095;&#1085;&#1077;&#1085;&#1085;&#1103;%2023.03.17\&#1053;&#1072;%20&#1089;&#1077;&#1089;&#1110;&#1102;%2023.03.17\dod%204%20&#1082;&#1088;&#1077;&#1076;&#1080;&#1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d%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d%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d5"/>
    </sheetNames>
    <sheetDataSet>
      <sheetData sheetId="0">
        <row r="21">
          <cell r="M21">
            <v>1770000</v>
          </cell>
          <cell r="N21">
            <v>260356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d4"/>
    </sheetNames>
    <sheetDataSet>
      <sheetData sheetId="0">
        <row r="11">
          <cell r="E11">
            <v>67369998</v>
          </cell>
        </row>
        <row r="12">
          <cell r="D12">
            <v>83801490</v>
          </cell>
        </row>
        <row r="13">
          <cell r="D13">
            <v>-111684077.75</v>
          </cell>
          <cell r="E13">
            <v>111684077.75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д 1 04.09"/>
    </sheetNames>
    <sheetDataSet>
      <sheetData sheetId="0">
        <row r="87">
          <cell r="D87">
            <v>6692277349.25</v>
          </cell>
          <cell r="E87">
            <v>665841644.6800001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X169"/>
  <sheetViews>
    <sheetView tabSelected="1" view="pageBreakPreview" zoomScale="75" zoomScaleNormal="75" zoomScaleSheetLayoutView="75" zoomScalePageLayoutView="0" workbookViewId="0" topLeftCell="A1">
      <pane xSplit="4" ySplit="13" topLeftCell="E140" activePane="bottomRight" state="frozen"/>
      <selection pane="topLeft" activeCell="A1" sqref="A1"/>
      <selection pane="topRight" activeCell="F1" sqref="F1"/>
      <selection pane="bottomLeft" activeCell="A14" sqref="A14"/>
      <selection pane="bottomRight" activeCell="D182" sqref="D182"/>
    </sheetView>
  </sheetViews>
  <sheetFormatPr defaultColWidth="11.421875" defaultRowHeight="12.75"/>
  <cols>
    <col min="1" max="3" width="8.8515625" style="6" customWidth="1"/>
    <col min="4" max="4" width="34.28125" style="6" customWidth="1"/>
    <col min="5" max="5" width="16.28125" style="37" customWidth="1"/>
    <col min="6" max="6" width="15.28125" style="37" customWidth="1"/>
    <col min="7" max="7" width="13.7109375" style="37" customWidth="1"/>
    <col min="8" max="8" width="15.00390625" style="37" customWidth="1"/>
    <col min="9" max="9" width="13.8515625" style="6" customWidth="1"/>
    <col min="10" max="10" width="14.421875" style="37" customWidth="1"/>
    <col min="11" max="11" width="15.421875" style="37" customWidth="1"/>
    <col min="12" max="12" width="14.28125" style="37" customWidth="1"/>
    <col min="13" max="13" width="12.28125" style="37" customWidth="1"/>
    <col min="14" max="14" width="14.8515625" style="37" customWidth="1"/>
    <col min="15" max="15" width="14.28125" style="37" customWidth="1"/>
    <col min="16" max="16" width="16.57421875" style="6" customWidth="1"/>
    <col min="17" max="19" width="13.421875" style="6" hidden="1" customWidth="1"/>
    <col min="20" max="20" width="16.421875" style="1" hidden="1" customWidth="1"/>
    <col min="21" max="21" width="13.421875" style="1" hidden="1" customWidth="1"/>
    <col min="22" max="24" width="0" style="1" hidden="1" customWidth="1"/>
    <col min="25" max="16384" width="11.421875" style="1" customWidth="1"/>
  </cols>
  <sheetData>
    <row r="2" spans="13:19" ht="13.5" customHeight="1">
      <c r="M2" s="130" t="s">
        <v>293</v>
      </c>
      <c r="N2" s="130"/>
      <c r="O2" s="130"/>
      <c r="P2" s="130"/>
      <c r="Q2" s="25"/>
      <c r="R2" s="25"/>
      <c r="S2" s="25"/>
    </row>
    <row r="3" spans="13:19" ht="12.75">
      <c r="M3" s="131" t="s">
        <v>8</v>
      </c>
      <c r="N3" s="131"/>
      <c r="O3" s="131"/>
      <c r="P3" s="131"/>
      <c r="Q3" s="26"/>
      <c r="R3" s="26"/>
      <c r="S3" s="26"/>
    </row>
    <row r="4" spans="13:19" ht="19.5" customHeight="1">
      <c r="M4" s="132" t="s">
        <v>255</v>
      </c>
      <c r="N4" s="132"/>
      <c r="O4" s="132"/>
      <c r="P4" s="132"/>
      <c r="Q4" s="26"/>
      <c r="R4" s="26"/>
      <c r="S4" s="26"/>
    </row>
    <row r="5" spans="13:19" ht="27" customHeight="1">
      <c r="M5" s="133" t="s">
        <v>272</v>
      </c>
      <c r="N5" s="133"/>
      <c r="O5" s="133"/>
      <c r="P5" s="133"/>
      <c r="Q5" s="27"/>
      <c r="R5" s="27"/>
      <c r="S5" s="27"/>
    </row>
    <row r="6" spans="14:19" ht="12.75">
      <c r="N6" s="81"/>
      <c r="O6" s="81"/>
      <c r="P6" s="49"/>
      <c r="Q6" s="20"/>
      <c r="R6" s="20"/>
      <c r="S6" s="20"/>
    </row>
    <row r="7" spans="1:24" ht="20.25" customHeight="1">
      <c r="A7" s="139" t="s">
        <v>302</v>
      </c>
      <c r="B7" s="139"/>
      <c r="C7" s="139"/>
      <c r="D7" s="139"/>
      <c r="E7" s="139"/>
      <c r="F7" s="139"/>
      <c r="G7" s="139"/>
      <c r="H7" s="139"/>
      <c r="I7" s="139"/>
      <c r="J7" s="139"/>
      <c r="K7" s="139"/>
      <c r="L7" s="139"/>
      <c r="M7" s="139"/>
      <c r="N7" s="139"/>
      <c r="O7" s="139"/>
      <c r="P7" s="139"/>
      <c r="Q7" s="68"/>
      <c r="R7" s="68"/>
      <c r="S7" s="68"/>
      <c r="T7" s="6"/>
      <c r="U7" s="6"/>
      <c r="V7" s="6"/>
      <c r="W7" s="6"/>
      <c r="X7" s="6"/>
    </row>
    <row r="8" spans="16:24" ht="13.5">
      <c r="P8" s="69" t="s">
        <v>203</v>
      </c>
      <c r="Q8" s="21"/>
      <c r="R8" s="21"/>
      <c r="S8" s="21"/>
      <c r="T8" s="6"/>
      <c r="U8" s="6"/>
      <c r="V8" s="6"/>
      <c r="W8" s="6"/>
      <c r="X8" s="6"/>
    </row>
    <row r="9" spans="1:24" ht="12.75" customHeight="1">
      <c r="A9" s="134" t="s">
        <v>55</v>
      </c>
      <c r="B9" s="134" t="s">
        <v>58</v>
      </c>
      <c r="C9" s="134" t="s">
        <v>59</v>
      </c>
      <c r="D9" s="143" t="s">
        <v>204</v>
      </c>
      <c r="E9" s="137" t="s">
        <v>197</v>
      </c>
      <c r="F9" s="137"/>
      <c r="G9" s="137"/>
      <c r="H9" s="137"/>
      <c r="I9" s="70"/>
      <c r="J9" s="138" t="s">
        <v>198</v>
      </c>
      <c r="K9" s="138"/>
      <c r="L9" s="138"/>
      <c r="M9" s="138"/>
      <c r="N9" s="138"/>
      <c r="O9" s="138"/>
      <c r="P9" s="140" t="s">
        <v>5</v>
      </c>
      <c r="Q9" s="37"/>
      <c r="R9" s="37"/>
      <c r="S9" s="37"/>
      <c r="T9" s="6"/>
      <c r="U9" s="6"/>
      <c r="V9" s="6"/>
      <c r="W9" s="6"/>
      <c r="X9" s="6"/>
    </row>
    <row r="10" spans="1:24" ht="12.75">
      <c r="A10" s="135"/>
      <c r="B10" s="135"/>
      <c r="C10" s="135"/>
      <c r="D10" s="144"/>
      <c r="E10" s="137" t="s">
        <v>0</v>
      </c>
      <c r="F10" s="127" t="s">
        <v>56</v>
      </c>
      <c r="G10" s="137" t="s">
        <v>1</v>
      </c>
      <c r="H10" s="137"/>
      <c r="I10" s="127" t="s">
        <v>57</v>
      </c>
      <c r="J10" s="138" t="s">
        <v>0</v>
      </c>
      <c r="K10" s="127" t="s">
        <v>56</v>
      </c>
      <c r="L10" s="137" t="s">
        <v>1</v>
      </c>
      <c r="M10" s="137"/>
      <c r="N10" s="127" t="s">
        <v>57</v>
      </c>
      <c r="O10" s="70" t="s">
        <v>1</v>
      </c>
      <c r="P10" s="141"/>
      <c r="Q10" s="37"/>
      <c r="R10" s="37"/>
      <c r="S10" s="37"/>
      <c r="T10" s="6"/>
      <c r="U10" s="6"/>
      <c r="V10" s="6"/>
      <c r="W10" s="6"/>
      <c r="X10" s="6"/>
    </row>
    <row r="11" spans="1:24" ht="12.75">
      <c r="A11" s="135"/>
      <c r="B11" s="135"/>
      <c r="C11" s="135"/>
      <c r="D11" s="145"/>
      <c r="E11" s="137"/>
      <c r="F11" s="128"/>
      <c r="G11" s="137" t="s">
        <v>2</v>
      </c>
      <c r="H11" s="137" t="s">
        <v>3</v>
      </c>
      <c r="I11" s="128"/>
      <c r="J11" s="138"/>
      <c r="K11" s="128"/>
      <c r="L11" s="137" t="s">
        <v>2</v>
      </c>
      <c r="M11" s="137" t="s">
        <v>3</v>
      </c>
      <c r="N11" s="128"/>
      <c r="O11" s="137" t="s">
        <v>4</v>
      </c>
      <c r="P11" s="141"/>
      <c r="Q11" s="37"/>
      <c r="R11" s="37"/>
      <c r="S11" s="37"/>
      <c r="T11" s="6"/>
      <c r="U11" s="6"/>
      <c r="V11" s="6"/>
      <c r="W11" s="6"/>
      <c r="X11" s="6"/>
    </row>
    <row r="12" spans="1:24" ht="66" customHeight="1">
      <c r="A12" s="136"/>
      <c r="B12" s="136"/>
      <c r="C12" s="136"/>
      <c r="D12" s="50" t="s">
        <v>205</v>
      </c>
      <c r="E12" s="137"/>
      <c r="F12" s="129"/>
      <c r="G12" s="137"/>
      <c r="H12" s="137"/>
      <c r="I12" s="129"/>
      <c r="J12" s="138"/>
      <c r="K12" s="129"/>
      <c r="L12" s="137"/>
      <c r="M12" s="137"/>
      <c r="N12" s="129"/>
      <c r="O12" s="137"/>
      <c r="P12" s="142"/>
      <c r="Q12" s="37"/>
      <c r="R12" s="37"/>
      <c r="S12" s="37"/>
      <c r="T12" s="6"/>
      <c r="U12" s="6"/>
      <c r="V12" s="6"/>
      <c r="W12" s="6"/>
      <c r="X12" s="6"/>
    </row>
    <row r="13" spans="1:24" s="38" customFormat="1" ht="13.5">
      <c r="A13" s="71">
        <v>1</v>
      </c>
      <c r="B13" s="71">
        <v>2</v>
      </c>
      <c r="C13" s="71">
        <v>3</v>
      </c>
      <c r="D13" s="71">
        <v>4</v>
      </c>
      <c r="E13" s="71">
        <v>5</v>
      </c>
      <c r="F13" s="71">
        <v>6</v>
      </c>
      <c r="G13" s="71">
        <v>7</v>
      </c>
      <c r="H13" s="71">
        <v>8</v>
      </c>
      <c r="I13" s="71">
        <v>9</v>
      </c>
      <c r="J13" s="71">
        <v>10</v>
      </c>
      <c r="K13" s="71">
        <v>11</v>
      </c>
      <c r="L13" s="71">
        <v>12</v>
      </c>
      <c r="M13" s="71">
        <v>13</v>
      </c>
      <c r="N13" s="71">
        <v>14</v>
      </c>
      <c r="O13" s="71">
        <v>15</v>
      </c>
      <c r="P13" s="71" t="s">
        <v>60</v>
      </c>
      <c r="Q13" s="72"/>
      <c r="R13" s="72"/>
      <c r="S13" s="72"/>
      <c r="T13" s="72"/>
      <c r="U13" s="72"/>
      <c r="V13" s="72"/>
      <c r="W13" s="72"/>
      <c r="X13" s="72"/>
    </row>
    <row r="14" spans="1:24" s="9" customFormat="1" ht="26.25">
      <c r="A14" s="4" t="s">
        <v>6</v>
      </c>
      <c r="B14" s="4"/>
      <c r="C14" s="4"/>
      <c r="D14" s="28" t="s">
        <v>226</v>
      </c>
      <c r="E14" s="36">
        <f>F14+I14</f>
        <v>18255100</v>
      </c>
      <c r="F14" s="36">
        <f>F15</f>
        <v>18255100</v>
      </c>
      <c r="G14" s="36">
        <f>G15</f>
        <v>6323500</v>
      </c>
      <c r="H14" s="36">
        <f>H15</f>
        <v>2281300</v>
      </c>
      <c r="I14" s="36">
        <f>I15</f>
        <v>0</v>
      </c>
      <c r="J14" s="36">
        <f aca="true" t="shared" si="0" ref="J14:J42">K14+N14</f>
        <v>9720890</v>
      </c>
      <c r="K14" s="36">
        <f>K15</f>
        <v>150000</v>
      </c>
      <c r="L14" s="36">
        <f>L15</f>
        <v>0</v>
      </c>
      <c r="M14" s="36">
        <f>M15</f>
        <v>0</v>
      </c>
      <c r="N14" s="36">
        <f>N15</f>
        <v>9570890</v>
      </c>
      <c r="O14" s="36">
        <f>O15</f>
        <v>333200</v>
      </c>
      <c r="P14" s="14">
        <f>E14+J14</f>
        <v>27975990</v>
      </c>
      <c r="Q14" s="48">
        <v>84062428</v>
      </c>
      <c r="R14" s="48">
        <f>P14-Q14</f>
        <v>-56086438</v>
      </c>
      <c r="S14" s="48"/>
      <c r="T14" s="5">
        <v>26941590</v>
      </c>
      <c r="U14" s="8">
        <f>P14-T14</f>
        <v>1034400</v>
      </c>
      <c r="V14" s="8"/>
      <c r="X14" s="8"/>
    </row>
    <row r="15" spans="1:24" s="9" customFormat="1" ht="39">
      <c r="A15" s="4" t="s">
        <v>7</v>
      </c>
      <c r="B15" s="4"/>
      <c r="C15" s="4"/>
      <c r="D15" s="28" t="s">
        <v>227</v>
      </c>
      <c r="E15" s="36">
        <f>SUM(E16:E18)</f>
        <v>18255100</v>
      </c>
      <c r="F15" s="36">
        <f>SUM(F16:F18)</f>
        <v>18255100</v>
      </c>
      <c r="G15" s="36">
        <f>SUM(G16:G18)</f>
        <v>6323500</v>
      </c>
      <c r="H15" s="36">
        <f>SUM(H16:H18)</f>
        <v>2281300</v>
      </c>
      <c r="I15" s="36">
        <f>SUM(I16:I18)</f>
        <v>0</v>
      </c>
      <c r="J15" s="36">
        <f t="shared" si="0"/>
        <v>9720890</v>
      </c>
      <c r="K15" s="36">
        <f>SUM(K16:K18)</f>
        <v>150000</v>
      </c>
      <c r="L15" s="36">
        <f>SUM(L16:L18)</f>
        <v>0</v>
      </c>
      <c r="M15" s="36">
        <f>SUM(M16:M18)</f>
        <v>0</v>
      </c>
      <c r="N15" s="36">
        <f>SUM(N16:N18)</f>
        <v>9570890</v>
      </c>
      <c r="O15" s="36">
        <f>SUM(O16:O18)</f>
        <v>333200</v>
      </c>
      <c r="P15" s="14">
        <f aca="true" t="shared" si="1" ref="P15:P77">E15+J15</f>
        <v>27975990</v>
      </c>
      <c r="Q15" s="48"/>
      <c r="R15" s="48">
        <f aca="true" t="shared" si="2" ref="R15:R79">P15-Q15</f>
        <v>27975990</v>
      </c>
      <c r="S15" s="48"/>
      <c r="T15" s="5"/>
      <c r="U15" s="8">
        <f aca="true" t="shared" si="3" ref="U15:U77">P15-T15</f>
        <v>27975990</v>
      </c>
      <c r="V15" s="8"/>
      <c r="X15" s="8"/>
    </row>
    <row r="16" spans="1:24" s="6" customFormat="1" ht="39">
      <c r="A16" s="7" t="s">
        <v>206</v>
      </c>
      <c r="B16" s="7" t="s">
        <v>102</v>
      </c>
      <c r="C16" s="7" t="s">
        <v>103</v>
      </c>
      <c r="D16" s="29" t="s">
        <v>104</v>
      </c>
      <c r="E16" s="24">
        <f>F16+I16</f>
        <v>13301600</v>
      </c>
      <c r="F16" s="24">
        <f>10799100+100000+2228100+300000-77000-48600</f>
        <v>13301600</v>
      </c>
      <c r="G16" s="24">
        <f>4466500+1857000</f>
        <v>6323500</v>
      </c>
      <c r="H16" s="24">
        <f>2358300-77000</f>
        <v>2281300</v>
      </c>
      <c r="I16" s="15"/>
      <c r="J16" s="24">
        <f t="shared" si="0"/>
        <v>483200</v>
      </c>
      <c r="K16" s="24">
        <v>150000</v>
      </c>
      <c r="L16" s="36"/>
      <c r="M16" s="24"/>
      <c r="N16" s="24">
        <f>O16</f>
        <v>333200</v>
      </c>
      <c r="O16" s="24">
        <f>284600+48600</f>
        <v>333200</v>
      </c>
      <c r="P16" s="14">
        <f t="shared" si="1"/>
        <v>13784800</v>
      </c>
      <c r="Q16" s="48">
        <v>10949100</v>
      </c>
      <c r="R16" s="48">
        <f t="shared" si="2"/>
        <v>2835700</v>
      </c>
      <c r="S16" s="48"/>
      <c r="T16" s="5"/>
      <c r="U16" s="8">
        <f t="shared" si="3"/>
        <v>13784800</v>
      </c>
      <c r="V16" s="8"/>
      <c r="X16" s="8"/>
    </row>
    <row r="17" spans="1:24" s="6" customFormat="1" ht="26.25">
      <c r="A17" s="18" t="s">
        <v>46</v>
      </c>
      <c r="B17" s="18" t="s">
        <v>113</v>
      </c>
      <c r="C17" s="18" t="s">
        <v>76</v>
      </c>
      <c r="D17" s="30" t="s">
        <v>114</v>
      </c>
      <c r="E17" s="24">
        <f aca="true" t="shared" si="4" ref="E17:E42">F17+I17</f>
        <v>3500000</v>
      </c>
      <c r="F17" s="24">
        <f>500000+2000000+1000000</f>
        <v>3500000</v>
      </c>
      <c r="G17" s="36"/>
      <c r="H17" s="36"/>
      <c r="I17" s="14"/>
      <c r="J17" s="24">
        <f t="shared" si="0"/>
        <v>0</v>
      </c>
      <c r="K17" s="36"/>
      <c r="L17" s="36"/>
      <c r="M17" s="36"/>
      <c r="N17" s="24">
        <f>O17</f>
        <v>0</v>
      </c>
      <c r="O17" s="36"/>
      <c r="P17" s="14">
        <f t="shared" si="1"/>
        <v>3500000</v>
      </c>
      <c r="Q17" s="48">
        <v>500000</v>
      </c>
      <c r="R17" s="48">
        <f t="shared" si="2"/>
        <v>3000000</v>
      </c>
      <c r="S17" s="48"/>
      <c r="T17" s="5"/>
      <c r="U17" s="8">
        <f t="shared" si="3"/>
        <v>3500000</v>
      </c>
      <c r="V17" s="8"/>
      <c r="X17" s="8"/>
    </row>
    <row r="18" spans="1:24" s="64" customFormat="1" ht="12.75">
      <c r="A18" s="7" t="s">
        <v>47</v>
      </c>
      <c r="B18" s="7" t="s">
        <v>115</v>
      </c>
      <c r="C18" s="7" t="s">
        <v>117</v>
      </c>
      <c r="D18" s="29" t="s">
        <v>116</v>
      </c>
      <c r="E18" s="24">
        <f t="shared" si="4"/>
        <v>1453500</v>
      </c>
      <c r="F18" s="73">
        <f>970200+200000+206300+77000</f>
        <v>1453500</v>
      </c>
      <c r="G18" s="73"/>
      <c r="H18" s="73"/>
      <c r="I18" s="74"/>
      <c r="J18" s="24">
        <f t="shared" si="0"/>
        <v>9237690</v>
      </c>
      <c r="K18" s="73"/>
      <c r="L18" s="73"/>
      <c r="M18" s="24"/>
      <c r="N18" s="24">
        <f>O18+11937690-2700000</f>
        <v>9237690</v>
      </c>
      <c r="O18" s="73">
        <f>59705438-2165423-5366790-222200-284600-45444425-2100000-4100000-22000</f>
        <v>0</v>
      </c>
      <c r="P18" s="14">
        <f t="shared" si="1"/>
        <v>10691190</v>
      </c>
      <c r="Q18" s="48">
        <v>72613328</v>
      </c>
      <c r="R18" s="48">
        <f t="shared" si="2"/>
        <v>-61922138</v>
      </c>
      <c r="S18" s="48"/>
      <c r="T18" s="5"/>
      <c r="U18" s="8">
        <f t="shared" si="3"/>
        <v>10691190</v>
      </c>
      <c r="V18" s="8"/>
      <c r="W18" s="6"/>
      <c r="X18" s="8"/>
    </row>
    <row r="19" spans="1:24" s="9" customFormat="1" ht="52.5">
      <c r="A19" s="4" t="s">
        <v>31</v>
      </c>
      <c r="B19" s="4"/>
      <c r="C19" s="4"/>
      <c r="D19" s="34" t="s">
        <v>105</v>
      </c>
      <c r="E19" s="36">
        <f t="shared" si="4"/>
        <v>559000</v>
      </c>
      <c r="F19" s="36">
        <f aca="true" t="shared" si="5" ref="F19:O19">F20</f>
        <v>559000</v>
      </c>
      <c r="G19" s="36">
        <f t="shared" si="5"/>
        <v>0</v>
      </c>
      <c r="H19" s="36">
        <f t="shared" si="5"/>
        <v>0</v>
      </c>
      <c r="I19" s="36">
        <f t="shared" si="5"/>
        <v>0</v>
      </c>
      <c r="J19" s="36">
        <f t="shared" si="0"/>
        <v>0</v>
      </c>
      <c r="K19" s="36">
        <f t="shared" si="5"/>
        <v>0</v>
      </c>
      <c r="L19" s="36">
        <f t="shared" si="5"/>
        <v>0</v>
      </c>
      <c r="M19" s="36">
        <f t="shared" si="5"/>
        <v>0</v>
      </c>
      <c r="N19" s="36">
        <f t="shared" si="5"/>
        <v>0</v>
      </c>
      <c r="O19" s="36">
        <f t="shared" si="5"/>
        <v>0</v>
      </c>
      <c r="P19" s="14">
        <f t="shared" si="1"/>
        <v>559000</v>
      </c>
      <c r="Q19" s="48">
        <v>559000</v>
      </c>
      <c r="R19" s="48">
        <f t="shared" si="2"/>
        <v>0</v>
      </c>
      <c r="S19" s="48"/>
      <c r="T19" s="5">
        <v>559000</v>
      </c>
      <c r="U19" s="8">
        <f t="shared" si="3"/>
        <v>0</v>
      </c>
      <c r="V19" s="8"/>
      <c r="X19" s="8"/>
    </row>
    <row r="20" spans="1:24" s="9" customFormat="1" ht="52.5">
      <c r="A20" s="4" t="s">
        <v>32</v>
      </c>
      <c r="B20" s="4"/>
      <c r="C20" s="4"/>
      <c r="D20" s="34" t="s">
        <v>106</v>
      </c>
      <c r="E20" s="36">
        <f t="shared" si="4"/>
        <v>559000</v>
      </c>
      <c r="F20" s="36">
        <f>SUM(F21)</f>
        <v>559000</v>
      </c>
      <c r="G20" s="36">
        <f>SUM(G21)</f>
        <v>0</v>
      </c>
      <c r="H20" s="36">
        <f>SUM(H21)</f>
        <v>0</v>
      </c>
      <c r="I20" s="36">
        <f>SUM(I21)</f>
        <v>0</v>
      </c>
      <c r="J20" s="36">
        <f t="shared" si="0"/>
        <v>0</v>
      </c>
      <c r="K20" s="36">
        <f>SUM(K21)</f>
        <v>0</v>
      </c>
      <c r="L20" s="36">
        <f>SUM(L21)</f>
        <v>0</v>
      </c>
      <c r="M20" s="36">
        <f>SUM(M21)</f>
        <v>0</v>
      </c>
      <c r="N20" s="36">
        <f>SUM(N21)</f>
        <v>0</v>
      </c>
      <c r="O20" s="36">
        <f>SUM(O21)</f>
        <v>0</v>
      </c>
      <c r="P20" s="14">
        <f t="shared" si="1"/>
        <v>559000</v>
      </c>
      <c r="Q20" s="48"/>
      <c r="R20" s="48">
        <f t="shared" si="2"/>
        <v>559000</v>
      </c>
      <c r="S20" s="48"/>
      <c r="T20" s="5"/>
      <c r="U20" s="8">
        <f t="shared" si="3"/>
        <v>559000</v>
      </c>
      <c r="V20" s="8"/>
      <c r="X20" s="8"/>
    </row>
    <row r="21" spans="1:24" s="6" customFormat="1" ht="12.75">
      <c r="A21" s="7" t="s">
        <v>53</v>
      </c>
      <c r="B21" s="7" t="s">
        <v>115</v>
      </c>
      <c r="C21" s="7" t="s">
        <v>117</v>
      </c>
      <c r="D21" s="29" t="s">
        <v>116</v>
      </c>
      <c r="E21" s="24">
        <f t="shared" si="4"/>
        <v>559000</v>
      </c>
      <c r="F21" s="39">
        <v>559000</v>
      </c>
      <c r="G21" s="24"/>
      <c r="H21" s="24"/>
      <c r="I21" s="15"/>
      <c r="J21" s="24">
        <f t="shared" si="0"/>
        <v>0</v>
      </c>
      <c r="K21" s="24"/>
      <c r="L21" s="24"/>
      <c r="M21" s="24"/>
      <c r="N21" s="24"/>
      <c r="O21" s="36"/>
      <c r="P21" s="14">
        <f t="shared" si="1"/>
        <v>559000</v>
      </c>
      <c r="Q21" s="48"/>
      <c r="R21" s="48">
        <f t="shared" si="2"/>
        <v>559000</v>
      </c>
      <c r="S21" s="48"/>
      <c r="T21" s="5"/>
      <c r="U21" s="8">
        <f t="shared" si="3"/>
        <v>559000</v>
      </c>
      <c r="V21" s="8"/>
      <c r="X21" s="8"/>
    </row>
    <row r="22" spans="1:24" s="9" customFormat="1" ht="26.25">
      <c r="A22" s="2">
        <v>1000000</v>
      </c>
      <c r="B22" s="22"/>
      <c r="C22" s="22"/>
      <c r="D22" s="34" t="s">
        <v>100</v>
      </c>
      <c r="E22" s="36">
        <f>F22+I22</f>
        <v>555079215</v>
      </c>
      <c r="F22" s="36">
        <f aca="true" t="shared" si="6" ref="F22:O22">F23</f>
        <v>555079215</v>
      </c>
      <c r="G22" s="36">
        <f t="shared" si="6"/>
        <v>288597500</v>
      </c>
      <c r="H22" s="36">
        <f t="shared" si="6"/>
        <v>41854300</v>
      </c>
      <c r="I22" s="36">
        <f t="shared" si="6"/>
        <v>0</v>
      </c>
      <c r="J22" s="36">
        <f t="shared" si="0"/>
        <v>71358045</v>
      </c>
      <c r="K22" s="36">
        <f t="shared" si="6"/>
        <v>39799504</v>
      </c>
      <c r="L22" s="36">
        <f t="shared" si="6"/>
        <v>4652653</v>
      </c>
      <c r="M22" s="36">
        <f t="shared" si="6"/>
        <v>1939043</v>
      </c>
      <c r="N22" s="36">
        <f t="shared" si="6"/>
        <v>31558541</v>
      </c>
      <c r="O22" s="36">
        <f t="shared" si="6"/>
        <v>30234161</v>
      </c>
      <c r="P22" s="14">
        <f t="shared" si="1"/>
        <v>626437260</v>
      </c>
      <c r="Q22" s="48">
        <v>570362484</v>
      </c>
      <c r="R22" s="48">
        <f t="shared" si="2"/>
        <v>56074776</v>
      </c>
      <c r="S22" s="48"/>
      <c r="T22" s="5">
        <v>601111617</v>
      </c>
      <c r="U22" s="8">
        <f t="shared" si="3"/>
        <v>25325643</v>
      </c>
      <c r="V22" s="8"/>
      <c r="X22" s="8"/>
    </row>
    <row r="23" spans="1:24" s="9" customFormat="1" ht="26.25">
      <c r="A23" s="2">
        <v>1010000</v>
      </c>
      <c r="B23" s="22"/>
      <c r="C23" s="22"/>
      <c r="D23" s="34" t="s">
        <v>101</v>
      </c>
      <c r="E23" s="36">
        <f t="shared" si="4"/>
        <v>555079215</v>
      </c>
      <c r="F23" s="36">
        <f>SUM(F24:F35)+F36+F39</f>
        <v>555079215</v>
      </c>
      <c r="G23" s="36">
        <f>SUM(G24:G35)+G36+G39</f>
        <v>288597500</v>
      </c>
      <c r="H23" s="36">
        <f>SUM(H24:H35)+H36+H39</f>
        <v>41854300</v>
      </c>
      <c r="I23" s="36">
        <f>SUM(I24:I35)+I36+I39</f>
        <v>0</v>
      </c>
      <c r="J23" s="36">
        <f t="shared" si="0"/>
        <v>71358045</v>
      </c>
      <c r="K23" s="36">
        <f>SUM(K24:K35)+K36+K39</f>
        <v>39799504</v>
      </c>
      <c r="L23" s="36">
        <f>SUM(L24:L35)+L36+L39</f>
        <v>4652653</v>
      </c>
      <c r="M23" s="36">
        <f>SUM(M24:M35)+M36+M39</f>
        <v>1939043</v>
      </c>
      <c r="N23" s="36">
        <f>SUM(N24:N35)+N36+N39</f>
        <v>31558541</v>
      </c>
      <c r="O23" s="36">
        <f>SUM(O24:O35)+O36+O39</f>
        <v>30234161</v>
      </c>
      <c r="P23" s="14">
        <f t="shared" si="1"/>
        <v>626437260</v>
      </c>
      <c r="Q23" s="48"/>
      <c r="R23" s="48">
        <f t="shared" si="2"/>
        <v>626437260</v>
      </c>
      <c r="S23" s="48"/>
      <c r="T23" s="5"/>
      <c r="U23" s="8">
        <f t="shared" si="3"/>
        <v>626437260</v>
      </c>
      <c r="V23" s="8"/>
      <c r="X23" s="8"/>
    </row>
    <row r="24" spans="1:24" s="6" customFormat="1" ht="52.5">
      <c r="A24" s="3">
        <v>1011040</v>
      </c>
      <c r="B24" s="7" t="s">
        <v>67</v>
      </c>
      <c r="C24" s="7" t="s">
        <v>69</v>
      </c>
      <c r="D24" s="123" t="s">
        <v>68</v>
      </c>
      <c r="E24" s="121">
        <f t="shared" si="4"/>
        <v>51009535</v>
      </c>
      <c r="F24" s="40">
        <f>50295200+684135+30200</f>
        <v>51009535</v>
      </c>
      <c r="G24" s="40">
        <v>25796200</v>
      </c>
      <c r="H24" s="40">
        <f>5235600+30200</f>
        <v>5265800</v>
      </c>
      <c r="I24" s="16"/>
      <c r="J24" s="24">
        <f t="shared" si="0"/>
        <v>3019836</v>
      </c>
      <c r="K24" s="40">
        <v>340036</v>
      </c>
      <c r="L24" s="40">
        <v>66000</v>
      </c>
      <c r="M24" s="40">
        <v>9200</v>
      </c>
      <c r="N24" s="40">
        <f>12000+O24</f>
        <v>2679800</v>
      </c>
      <c r="O24" s="24">
        <f>704400+1963400</f>
        <v>2667800</v>
      </c>
      <c r="P24" s="14">
        <f t="shared" si="1"/>
        <v>54029371</v>
      </c>
      <c r="Q24" s="48"/>
      <c r="R24" s="48">
        <f t="shared" si="2"/>
        <v>54029371</v>
      </c>
      <c r="S24" s="48"/>
      <c r="T24" s="5"/>
      <c r="U24" s="8">
        <f t="shared" si="3"/>
        <v>54029371</v>
      </c>
      <c r="V24" s="8"/>
      <c r="X24" s="8"/>
    </row>
    <row r="25" spans="1:24" s="6" customFormat="1" ht="78.75">
      <c r="A25" s="3">
        <v>1011060</v>
      </c>
      <c r="B25" s="7" t="s">
        <v>70</v>
      </c>
      <c r="C25" s="7" t="s">
        <v>71</v>
      </c>
      <c r="D25" s="122" t="s">
        <v>253</v>
      </c>
      <c r="E25" s="24">
        <f t="shared" si="4"/>
        <v>12588314</v>
      </c>
      <c r="F25" s="40">
        <f>12072300+32614+200000+91500+28000+163900</f>
        <v>12588314</v>
      </c>
      <c r="G25" s="40">
        <v>6585800</v>
      </c>
      <c r="H25" s="40">
        <f>873800+28000</f>
        <v>901800</v>
      </c>
      <c r="I25" s="16"/>
      <c r="J25" s="24">
        <f t="shared" si="0"/>
        <v>45000</v>
      </c>
      <c r="K25" s="40">
        <v>45000</v>
      </c>
      <c r="L25" s="40"/>
      <c r="M25" s="40">
        <v>3500</v>
      </c>
      <c r="N25" s="40">
        <f>O25</f>
        <v>0</v>
      </c>
      <c r="O25" s="40"/>
      <c r="P25" s="14">
        <f t="shared" si="1"/>
        <v>12633314</v>
      </c>
      <c r="Q25" s="48"/>
      <c r="R25" s="48">
        <f t="shared" si="2"/>
        <v>12633314</v>
      </c>
      <c r="S25" s="48"/>
      <c r="T25" s="5"/>
      <c r="U25" s="8">
        <f t="shared" si="3"/>
        <v>12633314</v>
      </c>
      <c r="V25" s="8"/>
      <c r="X25" s="8"/>
    </row>
    <row r="26" spans="1:24" s="6" customFormat="1" ht="78.75">
      <c r="A26" s="3">
        <v>1011070</v>
      </c>
      <c r="B26" s="7" t="s">
        <v>72</v>
      </c>
      <c r="C26" s="7" t="s">
        <v>69</v>
      </c>
      <c r="D26" s="31" t="s">
        <v>73</v>
      </c>
      <c r="E26" s="24">
        <f t="shared" si="4"/>
        <v>118334022</v>
      </c>
      <c r="F26" s="40">
        <f>116801800+6900+1239922+124000+161400</f>
        <v>118334022</v>
      </c>
      <c r="G26" s="40">
        <f>72665600+6900</f>
        <v>72672500</v>
      </c>
      <c r="H26" s="40">
        <f>6364800+161400</f>
        <v>6526200</v>
      </c>
      <c r="I26" s="16"/>
      <c r="J26" s="24">
        <f t="shared" si="0"/>
        <v>2899243</v>
      </c>
      <c r="K26" s="40">
        <v>83905</v>
      </c>
      <c r="L26" s="40">
        <v>1500</v>
      </c>
      <c r="M26" s="40"/>
      <c r="N26" s="40">
        <f>6290+O26</f>
        <v>2815338</v>
      </c>
      <c r="O26" s="24">
        <f>2749048+22000+38000</f>
        <v>2809048</v>
      </c>
      <c r="P26" s="14">
        <f t="shared" si="1"/>
        <v>121233265</v>
      </c>
      <c r="Q26" s="48"/>
      <c r="R26" s="48">
        <f t="shared" si="2"/>
        <v>121233265</v>
      </c>
      <c r="S26" s="48"/>
      <c r="T26" s="5"/>
      <c r="U26" s="8">
        <f t="shared" si="3"/>
        <v>121233265</v>
      </c>
      <c r="V26" s="8"/>
      <c r="X26" s="8"/>
    </row>
    <row r="27" spans="1:24" s="6" customFormat="1" ht="120.75" customHeight="1">
      <c r="A27" s="3">
        <v>1011080</v>
      </c>
      <c r="B27" s="7" t="s">
        <v>74</v>
      </c>
      <c r="C27" s="7" t="s">
        <v>69</v>
      </c>
      <c r="D27" s="31" t="s">
        <v>75</v>
      </c>
      <c r="E27" s="24">
        <f t="shared" si="4"/>
        <v>68881622</v>
      </c>
      <c r="F27" s="40">
        <f>68745800+356676-294654+73800</f>
        <v>68881622</v>
      </c>
      <c r="G27" s="40">
        <v>32978200</v>
      </c>
      <c r="H27" s="24">
        <f>6228400+73800</f>
        <v>6302200</v>
      </c>
      <c r="I27" s="15"/>
      <c r="J27" s="24">
        <f t="shared" si="0"/>
        <v>22005789</v>
      </c>
      <c r="K27" s="40">
        <v>438700</v>
      </c>
      <c r="L27" s="40"/>
      <c r="M27" s="24">
        <v>36000</v>
      </c>
      <c r="N27" s="40">
        <f>O27</f>
        <v>21567089</v>
      </c>
      <c r="O27" s="40">
        <f>27821781+294654-4733089-2100000+583700-299957</f>
        <v>21567089</v>
      </c>
      <c r="P27" s="14">
        <f t="shared" si="1"/>
        <v>90887411</v>
      </c>
      <c r="Q27" s="48"/>
      <c r="R27" s="48">
        <f t="shared" si="2"/>
        <v>90887411</v>
      </c>
      <c r="S27" s="48"/>
      <c r="T27" s="5"/>
      <c r="U27" s="8">
        <f t="shared" si="3"/>
        <v>90887411</v>
      </c>
      <c r="V27" s="8"/>
      <c r="X27" s="8"/>
    </row>
    <row r="28" spans="1:24" s="6" customFormat="1" ht="39">
      <c r="A28" s="3">
        <v>1011090</v>
      </c>
      <c r="B28" s="7" t="s">
        <v>76</v>
      </c>
      <c r="C28" s="7" t="s">
        <v>77</v>
      </c>
      <c r="D28" s="31" t="s">
        <v>78</v>
      </c>
      <c r="E28" s="24">
        <f t="shared" si="4"/>
        <v>28145100</v>
      </c>
      <c r="F28" s="40">
        <f>27028600+942400-16000+190100</f>
        <v>28145100</v>
      </c>
      <c r="G28" s="40">
        <f>17804700+745000</f>
        <v>18549700</v>
      </c>
      <c r="H28" s="40">
        <f>3002600+190100</f>
        <v>3192700</v>
      </c>
      <c r="I28" s="16"/>
      <c r="J28" s="24">
        <f t="shared" si="0"/>
        <v>1895214</v>
      </c>
      <c r="K28" s="40">
        <v>839000</v>
      </c>
      <c r="L28" s="40">
        <f>238000+4000</f>
        <v>242000</v>
      </c>
      <c r="M28" s="40">
        <f>89900-4500</f>
        <v>85400</v>
      </c>
      <c r="N28" s="40">
        <f>30000+O28</f>
        <v>1056214</v>
      </c>
      <c r="O28" s="24">
        <f>1026214</f>
        <v>1026214</v>
      </c>
      <c r="P28" s="14">
        <f t="shared" si="1"/>
        <v>30040314</v>
      </c>
      <c r="Q28" s="48"/>
      <c r="R28" s="48">
        <f t="shared" si="2"/>
        <v>30040314</v>
      </c>
      <c r="S28" s="48"/>
      <c r="T28" s="5"/>
      <c r="U28" s="8">
        <f t="shared" si="3"/>
        <v>30040314</v>
      </c>
      <c r="V28" s="8"/>
      <c r="X28" s="8"/>
    </row>
    <row r="29" spans="1:24" s="6" customFormat="1" ht="39">
      <c r="A29" s="3">
        <v>1011100</v>
      </c>
      <c r="B29" s="7" t="s">
        <v>79</v>
      </c>
      <c r="C29" s="7" t="s">
        <v>80</v>
      </c>
      <c r="D29" s="31" t="s">
        <v>231</v>
      </c>
      <c r="E29" s="24">
        <f t="shared" si="4"/>
        <v>194156132</v>
      </c>
      <c r="F29" s="40">
        <f>169116200+125700+2876532+561700+21476000</f>
        <v>194156132</v>
      </c>
      <c r="G29" s="40">
        <f>97390000+103200+921300+18233600</f>
        <v>116648100</v>
      </c>
      <c r="H29" s="40">
        <f>18037200-196000</f>
        <v>17841200</v>
      </c>
      <c r="I29" s="16"/>
      <c r="J29" s="24">
        <f t="shared" si="0"/>
        <v>16524303</v>
      </c>
      <c r="K29" s="40">
        <v>14225303</v>
      </c>
      <c r="L29" s="40">
        <v>3855153</v>
      </c>
      <c r="M29" s="40">
        <v>1591843</v>
      </c>
      <c r="N29" s="40">
        <f>1008600+O29+75000</f>
        <v>2299000</v>
      </c>
      <c r="O29" s="24">
        <f>995200+37300+182900</f>
        <v>1215400</v>
      </c>
      <c r="P29" s="14">
        <f t="shared" si="1"/>
        <v>210680435</v>
      </c>
      <c r="Q29" s="48"/>
      <c r="R29" s="48">
        <f t="shared" si="2"/>
        <v>210680435</v>
      </c>
      <c r="S29" s="48"/>
      <c r="T29" s="5"/>
      <c r="U29" s="8">
        <f t="shared" si="3"/>
        <v>210680435</v>
      </c>
      <c r="V29" s="8"/>
      <c r="X29" s="8"/>
    </row>
    <row r="30" spans="1:24" s="6" customFormat="1" ht="26.25">
      <c r="A30" s="3">
        <v>1011130</v>
      </c>
      <c r="B30" s="7" t="s">
        <v>81</v>
      </c>
      <c r="C30" s="7" t="s">
        <v>82</v>
      </c>
      <c r="D30" s="31" t="s">
        <v>83</v>
      </c>
      <c r="E30" s="24">
        <f t="shared" si="4"/>
        <v>53515440</v>
      </c>
      <c r="F30" s="40">
        <f>52113400+1213340+334300-170000+24400</f>
        <v>53515440</v>
      </c>
      <c r="G30" s="40"/>
      <c r="H30" s="40"/>
      <c r="I30" s="16"/>
      <c r="J30" s="24">
        <f t="shared" si="0"/>
        <v>23912410</v>
      </c>
      <c r="K30" s="40">
        <v>22836800</v>
      </c>
      <c r="L30" s="40"/>
      <c r="M30" s="40"/>
      <c r="N30" s="40">
        <f>150000+O30</f>
        <v>1075610</v>
      </c>
      <c r="O30" s="24">
        <v>925610</v>
      </c>
      <c r="P30" s="14">
        <f t="shared" si="1"/>
        <v>77427850</v>
      </c>
      <c r="Q30" s="48"/>
      <c r="R30" s="48">
        <f t="shared" si="2"/>
        <v>77427850</v>
      </c>
      <c r="S30" s="48"/>
      <c r="T30" s="5"/>
      <c r="U30" s="8">
        <f t="shared" si="3"/>
        <v>77427850</v>
      </c>
      <c r="V30" s="8"/>
      <c r="X30" s="8"/>
    </row>
    <row r="31" spans="1:24" s="6" customFormat="1" ht="66">
      <c r="A31" s="3">
        <v>1011140</v>
      </c>
      <c r="B31" s="7" t="s">
        <v>84</v>
      </c>
      <c r="C31" s="7" t="s">
        <v>85</v>
      </c>
      <c r="D31" s="33" t="s">
        <v>86</v>
      </c>
      <c r="E31" s="24">
        <f t="shared" si="4"/>
        <v>15856750</v>
      </c>
      <c r="F31" s="40">
        <f>15443400+373550+11200+28600</f>
        <v>15856750</v>
      </c>
      <c r="G31" s="40">
        <f>11216400+242100</f>
        <v>11458500</v>
      </c>
      <c r="H31" s="40">
        <v>660000</v>
      </c>
      <c r="I31" s="16"/>
      <c r="J31" s="24">
        <f t="shared" si="0"/>
        <v>261250</v>
      </c>
      <c r="K31" s="40">
        <v>200760</v>
      </c>
      <c r="L31" s="40">
        <v>78000</v>
      </c>
      <c r="M31" s="40">
        <v>13100</v>
      </c>
      <c r="N31" s="40">
        <f>37490+O31</f>
        <v>60490</v>
      </c>
      <c r="O31" s="24">
        <v>23000</v>
      </c>
      <c r="P31" s="14">
        <f t="shared" si="1"/>
        <v>16118000</v>
      </c>
      <c r="Q31" s="48"/>
      <c r="R31" s="48">
        <f t="shared" si="2"/>
        <v>16118000</v>
      </c>
      <c r="S31" s="48"/>
      <c r="T31" s="5"/>
      <c r="U31" s="8">
        <f t="shared" si="3"/>
        <v>16118000</v>
      </c>
      <c r="V31" s="8"/>
      <c r="X31" s="8"/>
    </row>
    <row r="32" spans="1:24" s="6" customFormat="1" ht="39">
      <c r="A32" s="3">
        <v>1011170</v>
      </c>
      <c r="B32" s="7" t="s">
        <v>87</v>
      </c>
      <c r="C32" s="7" t="s">
        <v>88</v>
      </c>
      <c r="D32" s="33" t="s">
        <v>9</v>
      </c>
      <c r="E32" s="24">
        <f t="shared" si="4"/>
        <v>50000</v>
      </c>
      <c r="F32" s="40">
        <v>50000</v>
      </c>
      <c r="G32" s="40"/>
      <c r="H32" s="40"/>
      <c r="I32" s="16"/>
      <c r="J32" s="24">
        <f t="shared" si="0"/>
        <v>0</v>
      </c>
      <c r="K32" s="40"/>
      <c r="L32" s="40"/>
      <c r="M32" s="40"/>
      <c r="N32" s="40"/>
      <c r="O32" s="24"/>
      <c r="P32" s="14">
        <f t="shared" si="1"/>
        <v>50000</v>
      </c>
      <c r="Q32" s="48"/>
      <c r="R32" s="48">
        <f t="shared" si="2"/>
        <v>50000</v>
      </c>
      <c r="S32" s="48"/>
      <c r="T32" s="5"/>
      <c r="U32" s="8">
        <f t="shared" si="3"/>
        <v>50000</v>
      </c>
      <c r="V32" s="8"/>
      <c r="X32" s="8"/>
    </row>
    <row r="33" spans="1:24" s="6" customFormat="1" ht="26.25">
      <c r="A33" s="3">
        <v>1011190</v>
      </c>
      <c r="B33" s="7" t="s">
        <v>89</v>
      </c>
      <c r="C33" s="7" t="s">
        <v>88</v>
      </c>
      <c r="D33" s="33" t="s">
        <v>10</v>
      </c>
      <c r="E33" s="24">
        <f t="shared" si="4"/>
        <v>859300</v>
      </c>
      <c r="F33" s="40">
        <v>859300</v>
      </c>
      <c r="G33" s="40">
        <v>639700</v>
      </c>
      <c r="H33" s="40">
        <v>23900</v>
      </c>
      <c r="I33" s="16"/>
      <c r="J33" s="24">
        <f t="shared" si="0"/>
        <v>50000</v>
      </c>
      <c r="K33" s="40">
        <v>45000</v>
      </c>
      <c r="L33" s="40">
        <v>10000</v>
      </c>
      <c r="M33" s="40"/>
      <c r="N33" s="40">
        <v>5000</v>
      </c>
      <c r="O33" s="24"/>
      <c r="P33" s="14">
        <f t="shared" si="1"/>
        <v>909300</v>
      </c>
      <c r="Q33" s="48"/>
      <c r="R33" s="48">
        <f t="shared" si="2"/>
        <v>909300</v>
      </c>
      <c r="S33" s="48"/>
      <c r="T33" s="5"/>
      <c r="U33" s="8">
        <f t="shared" si="3"/>
        <v>909300</v>
      </c>
      <c r="V33" s="8"/>
      <c r="X33" s="8"/>
    </row>
    <row r="34" spans="1:24" s="6" customFormat="1" ht="12.75">
      <c r="A34" s="3">
        <v>1011210</v>
      </c>
      <c r="B34" s="7" t="s">
        <v>90</v>
      </c>
      <c r="C34" s="7" t="s">
        <v>88</v>
      </c>
      <c r="D34" s="33" t="s">
        <v>91</v>
      </c>
      <c r="E34" s="24">
        <f t="shared" si="4"/>
        <v>4745000</v>
      </c>
      <c r="F34" s="40">
        <f>4523000+5259700+52000-5259700+170000</f>
        <v>4745000</v>
      </c>
      <c r="G34" s="40">
        <v>2254100</v>
      </c>
      <c r="H34" s="40">
        <f>1082400+52000</f>
        <v>1134400</v>
      </c>
      <c r="I34" s="16"/>
      <c r="J34" s="24">
        <f t="shared" si="0"/>
        <v>745000</v>
      </c>
      <c r="K34" s="40">
        <v>745000</v>
      </c>
      <c r="L34" s="40">
        <v>400000</v>
      </c>
      <c r="M34" s="40">
        <v>200000</v>
      </c>
      <c r="N34" s="40"/>
      <c r="O34" s="24"/>
      <c r="P34" s="14">
        <f t="shared" si="1"/>
        <v>5490000</v>
      </c>
      <c r="Q34" s="48"/>
      <c r="R34" s="48">
        <f t="shared" si="2"/>
        <v>5490000</v>
      </c>
      <c r="S34" s="48"/>
      <c r="T34" s="5"/>
      <c r="U34" s="8">
        <f t="shared" si="3"/>
        <v>5490000</v>
      </c>
      <c r="V34" s="8"/>
      <c r="X34" s="8"/>
    </row>
    <row r="35" spans="1:24" s="6" customFormat="1" ht="78.75">
      <c r="A35" s="3">
        <v>1013160</v>
      </c>
      <c r="B35" s="7" t="s">
        <v>92</v>
      </c>
      <c r="C35" s="7" t="s">
        <v>67</v>
      </c>
      <c r="D35" s="31" t="s">
        <v>93</v>
      </c>
      <c r="E35" s="24">
        <f t="shared" si="4"/>
        <v>4624700</v>
      </c>
      <c r="F35" s="40">
        <v>4624700</v>
      </c>
      <c r="G35" s="40"/>
      <c r="H35" s="40"/>
      <c r="I35" s="16"/>
      <c r="J35" s="24">
        <f t="shared" si="0"/>
        <v>0</v>
      </c>
      <c r="K35" s="40"/>
      <c r="L35" s="40"/>
      <c r="M35" s="40"/>
      <c r="N35" s="40"/>
      <c r="O35" s="24"/>
      <c r="P35" s="14">
        <f t="shared" si="1"/>
        <v>4624700</v>
      </c>
      <c r="Q35" s="48"/>
      <c r="R35" s="48">
        <f t="shared" si="2"/>
        <v>4624700</v>
      </c>
      <c r="S35" s="48"/>
      <c r="T35" s="5"/>
      <c r="U35" s="8">
        <f t="shared" si="3"/>
        <v>4624700</v>
      </c>
      <c r="V35" s="8"/>
      <c r="X35" s="8"/>
    </row>
    <row r="36" spans="1:24" s="6" customFormat="1" ht="12.75">
      <c r="A36" s="3">
        <v>1015010</v>
      </c>
      <c r="B36" s="7" t="s">
        <v>209</v>
      </c>
      <c r="C36" s="7"/>
      <c r="D36" s="31" t="s">
        <v>211</v>
      </c>
      <c r="E36" s="24">
        <f t="shared" si="4"/>
        <v>844700</v>
      </c>
      <c r="F36" s="40">
        <f>F37+F38</f>
        <v>844700</v>
      </c>
      <c r="G36" s="40">
        <f>G37+G38</f>
        <v>0</v>
      </c>
      <c r="H36" s="40">
        <f>H37+H38</f>
        <v>0</v>
      </c>
      <c r="I36" s="40">
        <f>I37+I38</f>
        <v>0</v>
      </c>
      <c r="J36" s="24">
        <f t="shared" si="0"/>
        <v>0</v>
      </c>
      <c r="K36" s="40">
        <f>K37+K38</f>
        <v>0</v>
      </c>
      <c r="L36" s="40">
        <f>L37+L38</f>
        <v>0</v>
      </c>
      <c r="M36" s="40">
        <f>M37+M38</f>
        <v>0</v>
      </c>
      <c r="N36" s="40">
        <f>N37+N38</f>
        <v>0</v>
      </c>
      <c r="O36" s="40">
        <f>O37+O38</f>
        <v>0</v>
      </c>
      <c r="P36" s="14">
        <f t="shared" si="1"/>
        <v>844700</v>
      </c>
      <c r="Q36" s="48"/>
      <c r="R36" s="48">
        <f t="shared" si="2"/>
        <v>844700</v>
      </c>
      <c r="S36" s="48"/>
      <c r="T36" s="5"/>
      <c r="U36" s="8">
        <f t="shared" si="3"/>
        <v>844700</v>
      </c>
      <c r="V36" s="8"/>
      <c r="X36" s="8"/>
    </row>
    <row r="37" spans="1:24" s="59" customFormat="1" ht="39">
      <c r="A37" s="51">
        <v>1015011</v>
      </c>
      <c r="B37" s="52" t="s">
        <v>94</v>
      </c>
      <c r="C37" s="52" t="s">
        <v>95</v>
      </c>
      <c r="D37" s="53" t="s">
        <v>232</v>
      </c>
      <c r="E37" s="54">
        <f t="shared" si="4"/>
        <v>673530</v>
      </c>
      <c r="F37" s="55">
        <f>844700-171170</f>
        <v>673530</v>
      </c>
      <c r="G37" s="55"/>
      <c r="H37" s="55"/>
      <c r="I37" s="56"/>
      <c r="J37" s="54">
        <f t="shared" si="0"/>
        <v>0</v>
      </c>
      <c r="K37" s="55"/>
      <c r="L37" s="55"/>
      <c r="M37" s="55"/>
      <c r="N37" s="55"/>
      <c r="O37" s="54"/>
      <c r="P37" s="14">
        <f t="shared" si="1"/>
        <v>673530</v>
      </c>
      <c r="Q37" s="57"/>
      <c r="R37" s="48">
        <f t="shared" si="2"/>
        <v>673530</v>
      </c>
      <c r="S37" s="57"/>
      <c r="T37" s="67"/>
      <c r="U37" s="8">
        <f t="shared" si="3"/>
        <v>673530</v>
      </c>
      <c r="V37" s="58"/>
      <c r="X37" s="58"/>
    </row>
    <row r="38" spans="1:24" s="59" customFormat="1" ht="39">
      <c r="A38" s="51">
        <v>1015012</v>
      </c>
      <c r="B38" s="52" t="s">
        <v>186</v>
      </c>
      <c r="C38" s="52" t="s">
        <v>95</v>
      </c>
      <c r="D38" s="53" t="s">
        <v>33</v>
      </c>
      <c r="E38" s="54">
        <f t="shared" si="4"/>
        <v>171170</v>
      </c>
      <c r="F38" s="55">
        <v>171170</v>
      </c>
      <c r="G38" s="55"/>
      <c r="H38" s="55"/>
      <c r="I38" s="56"/>
      <c r="J38" s="54">
        <f t="shared" si="0"/>
        <v>0</v>
      </c>
      <c r="K38" s="55"/>
      <c r="L38" s="55"/>
      <c r="M38" s="55"/>
      <c r="N38" s="55"/>
      <c r="O38" s="54"/>
      <c r="P38" s="14">
        <f t="shared" si="1"/>
        <v>171170</v>
      </c>
      <c r="Q38" s="57"/>
      <c r="R38" s="48"/>
      <c r="S38" s="57"/>
      <c r="T38" s="67"/>
      <c r="U38" s="8">
        <f t="shared" si="3"/>
        <v>171170</v>
      </c>
      <c r="V38" s="58"/>
      <c r="X38" s="58"/>
    </row>
    <row r="39" spans="1:24" s="64" customFormat="1" ht="26.25">
      <c r="A39" s="3">
        <v>1015030</v>
      </c>
      <c r="B39" s="7" t="s">
        <v>236</v>
      </c>
      <c r="C39" s="7"/>
      <c r="D39" s="33" t="s">
        <v>235</v>
      </c>
      <c r="E39" s="24">
        <f t="shared" si="4"/>
        <v>1468600</v>
      </c>
      <c r="F39" s="40">
        <f>F40</f>
        <v>1468600</v>
      </c>
      <c r="G39" s="40">
        <f aca="true" t="shared" si="7" ref="G39:O39">G40</f>
        <v>1014700</v>
      </c>
      <c r="H39" s="40">
        <f t="shared" si="7"/>
        <v>6100</v>
      </c>
      <c r="I39" s="40">
        <f t="shared" si="7"/>
        <v>0</v>
      </c>
      <c r="J39" s="24">
        <f t="shared" si="0"/>
        <v>0</v>
      </c>
      <c r="K39" s="40">
        <f t="shared" si="7"/>
        <v>0</v>
      </c>
      <c r="L39" s="40">
        <f t="shared" si="7"/>
        <v>0</v>
      </c>
      <c r="M39" s="40">
        <f t="shared" si="7"/>
        <v>0</v>
      </c>
      <c r="N39" s="40">
        <f t="shared" si="7"/>
        <v>0</v>
      </c>
      <c r="O39" s="40">
        <f t="shared" si="7"/>
        <v>0</v>
      </c>
      <c r="P39" s="14">
        <f t="shared" si="1"/>
        <v>1468600</v>
      </c>
      <c r="Q39" s="48"/>
      <c r="R39" s="48">
        <f t="shared" si="2"/>
        <v>1468600</v>
      </c>
      <c r="S39" s="48"/>
      <c r="T39" s="5"/>
      <c r="U39" s="8">
        <f t="shared" si="3"/>
        <v>1468600</v>
      </c>
      <c r="V39" s="8"/>
      <c r="W39" s="6"/>
      <c r="X39" s="8"/>
    </row>
    <row r="40" spans="1:24" s="65" customFormat="1" ht="39">
      <c r="A40" s="51">
        <v>1015031</v>
      </c>
      <c r="B40" s="52" t="s">
        <v>234</v>
      </c>
      <c r="C40" s="52" t="s">
        <v>95</v>
      </c>
      <c r="D40" s="53" t="s">
        <v>233</v>
      </c>
      <c r="E40" s="54">
        <f t="shared" si="4"/>
        <v>1468600</v>
      </c>
      <c r="F40" s="55">
        <f>1402900+65500+200</f>
        <v>1468600</v>
      </c>
      <c r="G40" s="55">
        <f>965100+49600</f>
        <v>1014700</v>
      </c>
      <c r="H40" s="55">
        <f>5900+200</f>
        <v>6100</v>
      </c>
      <c r="I40" s="56"/>
      <c r="J40" s="54">
        <f t="shared" si="0"/>
        <v>0</v>
      </c>
      <c r="K40" s="55"/>
      <c r="L40" s="55"/>
      <c r="M40" s="55"/>
      <c r="N40" s="55"/>
      <c r="O40" s="54"/>
      <c r="P40" s="14">
        <f t="shared" si="1"/>
        <v>1468600</v>
      </c>
      <c r="Q40" s="57"/>
      <c r="R40" s="48">
        <f t="shared" si="2"/>
        <v>1468600</v>
      </c>
      <c r="S40" s="57"/>
      <c r="T40" s="67"/>
      <c r="U40" s="8">
        <f t="shared" si="3"/>
        <v>1468600</v>
      </c>
      <c r="V40" s="58"/>
      <c r="W40" s="59"/>
      <c r="X40" s="58"/>
    </row>
    <row r="41" spans="1:24" s="9" customFormat="1" ht="26.25">
      <c r="A41" s="2">
        <v>1400000</v>
      </c>
      <c r="B41" s="22"/>
      <c r="C41" s="22"/>
      <c r="D41" s="11" t="s">
        <v>110</v>
      </c>
      <c r="E41" s="36">
        <f t="shared" si="4"/>
        <v>934103536</v>
      </c>
      <c r="F41" s="36">
        <f>F42</f>
        <v>934103536</v>
      </c>
      <c r="G41" s="36">
        <f>G42</f>
        <v>1275400</v>
      </c>
      <c r="H41" s="36">
        <f>H42</f>
        <v>42560</v>
      </c>
      <c r="I41" s="36">
        <f>I42</f>
        <v>0</v>
      </c>
      <c r="J41" s="36">
        <f t="shared" si="0"/>
        <v>93771050</v>
      </c>
      <c r="K41" s="36">
        <f>K42</f>
        <v>27261210</v>
      </c>
      <c r="L41" s="36">
        <f>L42</f>
        <v>0</v>
      </c>
      <c r="M41" s="36">
        <f>M42</f>
        <v>0</v>
      </c>
      <c r="N41" s="36">
        <f>N42</f>
        <v>66509840</v>
      </c>
      <c r="O41" s="36">
        <f>O42</f>
        <v>53046340</v>
      </c>
      <c r="P41" s="14">
        <f t="shared" si="1"/>
        <v>1027874586</v>
      </c>
      <c r="Q41" s="48">
        <v>946460030</v>
      </c>
      <c r="R41" s="48">
        <f t="shared" si="2"/>
        <v>81414556</v>
      </c>
      <c r="S41" s="48"/>
      <c r="T41" s="5">
        <v>1018176128</v>
      </c>
      <c r="U41" s="8">
        <f t="shared" si="3"/>
        <v>9698458</v>
      </c>
      <c r="V41" s="8">
        <v>9384989</v>
      </c>
      <c r="W41" s="8">
        <f>U41-V41</f>
        <v>313469</v>
      </c>
      <c r="X41" s="8"/>
    </row>
    <row r="42" spans="1:24" s="9" customFormat="1" ht="26.25">
      <c r="A42" s="2">
        <v>1410000</v>
      </c>
      <c r="B42" s="22"/>
      <c r="C42" s="22"/>
      <c r="D42" s="11" t="s">
        <v>107</v>
      </c>
      <c r="E42" s="36">
        <f t="shared" si="4"/>
        <v>934103536</v>
      </c>
      <c r="F42" s="36">
        <f>SUM(F43:F55)+F57+F60+F61+F62+F63</f>
        <v>934103536</v>
      </c>
      <c r="G42" s="36">
        <f>SUM(G43:G55)+G57+G60+G61+G62+G63</f>
        <v>1275400</v>
      </c>
      <c r="H42" s="36">
        <f>SUM(H43:H55)+H57+H60+H61+H62+H63</f>
        <v>42560</v>
      </c>
      <c r="I42" s="36">
        <f>SUM(I43:I55)+I57+I60+I61+I62+I63</f>
        <v>0</v>
      </c>
      <c r="J42" s="36">
        <f t="shared" si="0"/>
        <v>93771050</v>
      </c>
      <c r="K42" s="36">
        <f>SUM(K43:K55)+K57+K60+K61+K62+K63</f>
        <v>27261210</v>
      </c>
      <c r="L42" s="36">
        <f>SUM(L43:L55)+L57+L60+L61+L62+L63</f>
        <v>0</v>
      </c>
      <c r="M42" s="36">
        <f>SUM(M43:M55)+M57+M60+M61+M62+M63</f>
        <v>0</v>
      </c>
      <c r="N42" s="36">
        <f>SUM(N43:N55)+N57+N60+N61+N62+N63</f>
        <v>66509840</v>
      </c>
      <c r="O42" s="36">
        <f>SUM(O43:O55)+O57+O60+O61+O62+O63</f>
        <v>53046340</v>
      </c>
      <c r="P42" s="14">
        <f t="shared" si="1"/>
        <v>1027874586</v>
      </c>
      <c r="Q42" s="48"/>
      <c r="R42" s="48">
        <f t="shared" si="2"/>
        <v>1027874586</v>
      </c>
      <c r="S42" s="48"/>
      <c r="T42" s="5"/>
      <c r="U42" s="8">
        <f t="shared" si="3"/>
        <v>1027874586</v>
      </c>
      <c r="V42" s="8"/>
      <c r="X42" s="8"/>
    </row>
    <row r="43" spans="1:24" s="6" customFormat="1" ht="26.25">
      <c r="A43" s="3">
        <v>1411120</v>
      </c>
      <c r="B43" s="7" t="s">
        <v>127</v>
      </c>
      <c r="C43" s="7" t="s">
        <v>128</v>
      </c>
      <c r="D43" s="31" t="s">
        <v>155</v>
      </c>
      <c r="E43" s="24">
        <f aca="true" t="shared" si="8" ref="E43:E79">F43+I43</f>
        <v>40779400</v>
      </c>
      <c r="F43" s="40">
        <v>40779400</v>
      </c>
      <c r="G43" s="40"/>
      <c r="H43" s="36"/>
      <c r="I43" s="14"/>
      <c r="J43" s="24">
        <f aca="true" t="shared" si="9" ref="J43:J79">K43+N43</f>
        <v>21098400</v>
      </c>
      <c r="K43" s="40">
        <v>18217100</v>
      </c>
      <c r="L43" s="40"/>
      <c r="M43" s="40"/>
      <c r="N43" s="40">
        <f>+O43+380000</f>
        <v>2881300</v>
      </c>
      <c r="O43" s="24">
        <f>759400+938000+195400+608500</f>
        <v>2501300</v>
      </c>
      <c r="P43" s="14">
        <f t="shared" si="1"/>
        <v>61877800</v>
      </c>
      <c r="Q43" s="48"/>
      <c r="R43" s="48">
        <f t="shared" si="2"/>
        <v>61877800</v>
      </c>
      <c r="S43" s="48"/>
      <c r="T43" s="5"/>
      <c r="U43" s="8">
        <f t="shared" si="3"/>
        <v>61877800</v>
      </c>
      <c r="V43" s="8"/>
      <c r="X43" s="8"/>
    </row>
    <row r="44" spans="1:24" s="6" customFormat="1" ht="26.25">
      <c r="A44" s="3">
        <v>1412010</v>
      </c>
      <c r="B44" s="7" t="s">
        <v>129</v>
      </c>
      <c r="C44" s="7" t="s">
        <v>130</v>
      </c>
      <c r="D44" s="31" t="s">
        <v>11</v>
      </c>
      <c r="E44" s="24">
        <f t="shared" si="8"/>
        <v>236359420</v>
      </c>
      <c r="F44" s="40">
        <f>232478820+1935600+300000+145000+100000+400000+500000+500000</f>
        <v>236359420</v>
      </c>
      <c r="G44" s="40"/>
      <c r="H44" s="24"/>
      <c r="I44" s="15"/>
      <c r="J44" s="24">
        <f t="shared" si="9"/>
        <v>31057460</v>
      </c>
      <c r="K44" s="40">
        <v>2192660</v>
      </c>
      <c r="L44" s="40"/>
      <c r="M44" s="24"/>
      <c r="N44" s="40">
        <f>O44</f>
        <v>28864800</v>
      </c>
      <c r="O44" s="40">
        <f>8670000+1885700+290000+200000+1490000+996000+1509000+300000+3000000+4855000+550000+50000+2409100+360000+2300000</f>
        <v>28864800</v>
      </c>
      <c r="P44" s="14">
        <f t="shared" si="1"/>
        <v>267416880</v>
      </c>
      <c r="Q44" s="48"/>
      <c r="R44" s="48">
        <f t="shared" si="2"/>
        <v>267416880</v>
      </c>
      <c r="S44" s="48"/>
      <c r="T44" s="5"/>
      <c r="U44" s="8">
        <f t="shared" si="3"/>
        <v>267416880</v>
      </c>
      <c r="V44" s="8"/>
      <c r="X44" s="8"/>
    </row>
    <row r="45" spans="1:24" s="6" customFormat="1" ht="26.25">
      <c r="A45" s="3">
        <v>1412030</v>
      </c>
      <c r="B45" s="7" t="s">
        <v>131</v>
      </c>
      <c r="C45" s="7" t="s">
        <v>132</v>
      </c>
      <c r="D45" s="31" t="s">
        <v>12</v>
      </c>
      <c r="E45" s="24">
        <f t="shared" si="8"/>
        <v>328853200</v>
      </c>
      <c r="F45" s="40">
        <f>324228000+1076900+220000+461700+223000+1158300+976700+150000+198600+360000-200000</f>
        <v>328853200</v>
      </c>
      <c r="G45" s="40"/>
      <c r="H45" s="24"/>
      <c r="I45" s="15"/>
      <c r="J45" s="24">
        <f t="shared" si="9"/>
        <v>28470535</v>
      </c>
      <c r="K45" s="40">
        <v>2070150</v>
      </c>
      <c r="L45" s="40"/>
      <c r="M45" s="24"/>
      <c r="N45" s="40">
        <f>160000+O45+10000000</f>
        <v>26400385</v>
      </c>
      <c r="O45" s="24">
        <f>4981600+1245000+544600+690300+900000+699000+220000+2680900+100000+705025+1790000-220000+94760+1118600+162000+163000+160000+15000+190600</f>
        <v>16240385</v>
      </c>
      <c r="P45" s="14">
        <f t="shared" si="1"/>
        <v>357323735</v>
      </c>
      <c r="Q45" s="48"/>
      <c r="R45" s="48">
        <f t="shared" si="2"/>
        <v>357323735</v>
      </c>
      <c r="S45" s="48"/>
      <c r="T45" s="5"/>
      <c r="U45" s="8">
        <f t="shared" si="3"/>
        <v>357323735</v>
      </c>
      <c r="V45" s="8"/>
      <c r="X45" s="8"/>
    </row>
    <row r="46" spans="1:24" s="6" customFormat="1" ht="26.25">
      <c r="A46" s="3">
        <v>1412060</v>
      </c>
      <c r="B46" s="7" t="s">
        <v>133</v>
      </c>
      <c r="C46" s="7" t="s">
        <v>134</v>
      </c>
      <c r="D46" s="31" t="s">
        <v>13</v>
      </c>
      <c r="E46" s="24">
        <f t="shared" si="8"/>
        <v>8725900</v>
      </c>
      <c r="F46" s="40">
        <f>8612000+113900</f>
        <v>8725900</v>
      </c>
      <c r="G46" s="40"/>
      <c r="H46" s="40"/>
      <c r="I46" s="16"/>
      <c r="J46" s="24">
        <f t="shared" si="9"/>
        <v>0</v>
      </c>
      <c r="K46" s="40"/>
      <c r="L46" s="40"/>
      <c r="M46" s="40"/>
      <c r="N46" s="40">
        <f>O46</f>
        <v>0</v>
      </c>
      <c r="O46" s="24"/>
      <c r="P46" s="14">
        <f t="shared" si="1"/>
        <v>8725900</v>
      </c>
      <c r="Q46" s="48"/>
      <c r="R46" s="48">
        <f t="shared" si="2"/>
        <v>8725900</v>
      </c>
      <c r="S46" s="48"/>
      <c r="T46" s="5"/>
      <c r="U46" s="8">
        <f t="shared" si="3"/>
        <v>8725900</v>
      </c>
      <c r="V46" s="8"/>
      <c r="X46" s="8"/>
    </row>
    <row r="47" spans="1:24" s="6" customFormat="1" ht="39">
      <c r="A47" s="3">
        <v>1412070</v>
      </c>
      <c r="B47" s="7" t="s">
        <v>135</v>
      </c>
      <c r="C47" s="7" t="s">
        <v>134</v>
      </c>
      <c r="D47" s="31" t="s">
        <v>14</v>
      </c>
      <c r="E47" s="24">
        <f t="shared" si="8"/>
        <v>19238735</v>
      </c>
      <c r="F47" s="40">
        <f>18125800+266200+358600+131300+199085+157750</f>
        <v>19238735</v>
      </c>
      <c r="G47" s="40"/>
      <c r="H47" s="24"/>
      <c r="I47" s="15"/>
      <c r="J47" s="24">
        <f t="shared" si="9"/>
        <v>96605</v>
      </c>
      <c r="K47" s="40">
        <v>38200</v>
      </c>
      <c r="L47" s="40"/>
      <c r="M47" s="24"/>
      <c r="N47" s="40">
        <f>O47</f>
        <v>58405</v>
      </c>
      <c r="O47" s="24">
        <v>58405</v>
      </c>
      <c r="P47" s="14">
        <f t="shared" si="1"/>
        <v>19335340</v>
      </c>
      <c r="Q47" s="48"/>
      <c r="R47" s="48">
        <f t="shared" si="2"/>
        <v>19335340</v>
      </c>
      <c r="S47" s="48"/>
      <c r="T47" s="5"/>
      <c r="U47" s="8">
        <f t="shared" si="3"/>
        <v>19335340</v>
      </c>
      <c r="V47" s="8"/>
      <c r="X47" s="8"/>
    </row>
    <row r="48" spans="1:24" s="6" customFormat="1" ht="39">
      <c r="A48" s="3">
        <v>1412090</v>
      </c>
      <c r="B48" s="7" t="s">
        <v>136</v>
      </c>
      <c r="C48" s="7" t="s">
        <v>137</v>
      </c>
      <c r="D48" s="31" t="s">
        <v>156</v>
      </c>
      <c r="E48" s="24">
        <f t="shared" si="8"/>
        <v>15042100</v>
      </c>
      <c r="F48" s="40">
        <f>14192400+849700</f>
        <v>15042100</v>
      </c>
      <c r="G48" s="40"/>
      <c r="H48" s="40"/>
      <c r="I48" s="16"/>
      <c r="J48" s="24">
        <f t="shared" si="9"/>
        <v>0</v>
      </c>
      <c r="K48" s="40"/>
      <c r="L48" s="40"/>
      <c r="M48" s="40"/>
      <c r="N48" s="40">
        <f>O48</f>
        <v>0</v>
      </c>
      <c r="O48" s="24"/>
      <c r="P48" s="14">
        <f t="shared" si="1"/>
        <v>15042100</v>
      </c>
      <c r="Q48" s="48"/>
      <c r="R48" s="48">
        <f t="shared" si="2"/>
        <v>15042100</v>
      </c>
      <c r="S48" s="48"/>
      <c r="T48" s="5"/>
      <c r="U48" s="8">
        <f t="shared" si="3"/>
        <v>15042100</v>
      </c>
      <c r="V48" s="8"/>
      <c r="X48" s="8"/>
    </row>
    <row r="49" spans="1:24" s="6" customFormat="1" ht="12.75">
      <c r="A49" s="3">
        <v>1412100</v>
      </c>
      <c r="B49" s="7" t="s">
        <v>138</v>
      </c>
      <c r="C49" s="7" t="s">
        <v>139</v>
      </c>
      <c r="D49" s="31" t="s">
        <v>15</v>
      </c>
      <c r="E49" s="24">
        <f t="shared" si="8"/>
        <v>17403300</v>
      </c>
      <c r="F49" s="40">
        <f>17106800+50000+46500+200000</f>
        <v>17403300</v>
      </c>
      <c r="G49" s="40"/>
      <c r="H49" s="40"/>
      <c r="I49" s="16"/>
      <c r="J49" s="24">
        <f t="shared" si="9"/>
        <v>150000</v>
      </c>
      <c r="K49" s="40">
        <v>93500</v>
      </c>
      <c r="L49" s="40"/>
      <c r="M49" s="40"/>
      <c r="N49" s="40">
        <f>56500+O49</f>
        <v>56500</v>
      </c>
      <c r="O49" s="24"/>
      <c r="P49" s="14">
        <f t="shared" si="1"/>
        <v>17553300</v>
      </c>
      <c r="Q49" s="48"/>
      <c r="R49" s="48">
        <f t="shared" si="2"/>
        <v>17553300</v>
      </c>
      <c r="S49" s="48"/>
      <c r="T49" s="5"/>
      <c r="U49" s="8">
        <f t="shared" si="3"/>
        <v>17553300</v>
      </c>
      <c r="V49" s="8"/>
      <c r="X49" s="8"/>
    </row>
    <row r="50" spans="1:24" s="6" customFormat="1" ht="26.25">
      <c r="A50" s="3">
        <v>1412110</v>
      </c>
      <c r="B50" s="23" t="s">
        <v>140</v>
      </c>
      <c r="C50" s="23" t="s">
        <v>141</v>
      </c>
      <c r="D50" s="13" t="s">
        <v>157</v>
      </c>
      <c r="E50" s="24">
        <f t="shared" si="8"/>
        <v>164827000</v>
      </c>
      <c r="F50" s="40">
        <v>164827000</v>
      </c>
      <c r="G50" s="40"/>
      <c r="H50" s="24"/>
      <c r="I50" s="15"/>
      <c r="J50" s="24">
        <f t="shared" si="9"/>
        <v>376850</v>
      </c>
      <c r="K50" s="40">
        <v>118000</v>
      </c>
      <c r="L50" s="40"/>
      <c r="M50" s="36"/>
      <c r="N50" s="40">
        <f>O50</f>
        <v>258850</v>
      </c>
      <c r="O50" s="24">
        <v>258850</v>
      </c>
      <c r="P50" s="14">
        <f t="shared" si="1"/>
        <v>165203850</v>
      </c>
      <c r="Q50" s="48"/>
      <c r="R50" s="48">
        <f t="shared" si="2"/>
        <v>165203850</v>
      </c>
      <c r="S50" s="48"/>
      <c r="T50" s="5"/>
      <c r="U50" s="8">
        <f t="shared" si="3"/>
        <v>165203850</v>
      </c>
      <c r="V50" s="8"/>
      <c r="X50" s="8"/>
    </row>
    <row r="51" spans="1:24" s="6" customFormat="1" ht="26.25">
      <c r="A51" s="3">
        <v>1412130</v>
      </c>
      <c r="B51" s="7" t="s">
        <v>142</v>
      </c>
      <c r="C51" s="7" t="s">
        <v>143</v>
      </c>
      <c r="D51" s="31" t="s">
        <v>16</v>
      </c>
      <c r="E51" s="24">
        <f t="shared" si="8"/>
        <v>14244200</v>
      </c>
      <c r="F51" s="40">
        <f>14194200+50000</f>
        <v>14244200</v>
      </c>
      <c r="G51" s="40"/>
      <c r="H51" s="24"/>
      <c r="I51" s="15"/>
      <c r="J51" s="24">
        <f t="shared" si="9"/>
        <v>391000</v>
      </c>
      <c r="K51" s="40">
        <v>234000</v>
      </c>
      <c r="L51" s="40"/>
      <c r="M51" s="40"/>
      <c r="N51" s="40">
        <f>17000+O51</f>
        <v>157000</v>
      </c>
      <c r="O51" s="24">
        <f>40000+100000</f>
        <v>140000</v>
      </c>
      <c r="P51" s="14">
        <f t="shared" si="1"/>
        <v>14635200</v>
      </c>
      <c r="Q51" s="48"/>
      <c r="R51" s="48">
        <f t="shared" si="2"/>
        <v>14635200</v>
      </c>
      <c r="S51" s="48"/>
      <c r="T51" s="5"/>
      <c r="U51" s="8">
        <f t="shared" si="3"/>
        <v>14635200</v>
      </c>
      <c r="V51" s="8"/>
      <c r="X51" s="8"/>
    </row>
    <row r="52" spans="1:24" s="6" customFormat="1" ht="26.25">
      <c r="A52" s="3">
        <v>1412140</v>
      </c>
      <c r="B52" s="7" t="s">
        <v>144</v>
      </c>
      <c r="C52" s="7" t="s">
        <v>143</v>
      </c>
      <c r="D52" s="31" t="s">
        <v>17</v>
      </c>
      <c r="E52" s="24">
        <f t="shared" si="8"/>
        <v>8791200</v>
      </c>
      <c r="F52" s="40">
        <v>8791200</v>
      </c>
      <c r="G52" s="40"/>
      <c r="H52" s="24"/>
      <c r="I52" s="15"/>
      <c r="J52" s="24">
        <f t="shared" si="9"/>
        <v>4601500</v>
      </c>
      <c r="K52" s="40">
        <v>4211500</v>
      </c>
      <c r="L52" s="40"/>
      <c r="M52" s="24"/>
      <c r="N52" s="40">
        <f>150000+O52</f>
        <v>390000</v>
      </c>
      <c r="O52" s="24">
        <f>200000+40000</f>
        <v>240000</v>
      </c>
      <c r="P52" s="14">
        <f t="shared" si="1"/>
        <v>13392700</v>
      </c>
      <c r="Q52" s="48"/>
      <c r="R52" s="48">
        <f t="shared" si="2"/>
        <v>13392700</v>
      </c>
      <c r="S52" s="48"/>
      <c r="T52" s="5"/>
      <c r="U52" s="8">
        <f t="shared" si="3"/>
        <v>13392700</v>
      </c>
      <c r="V52" s="8"/>
      <c r="X52" s="8"/>
    </row>
    <row r="53" spans="1:24" s="6" customFormat="1" ht="39">
      <c r="A53" s="3">
        <v>1412170</v>
      </c>
      <c r="B53" s="7" t="s">
        <v>145</v>
      </c>
      <c r="C53" s="7" t="s">
        <v>146</v>
      </c>
      <c r="D53" s="31" t="s">
        <v>158</v>
      </c>
      <c r="E53" s="24">
        <f t="shared" si="8"/>
        <v>1335300</v>
      </c>
      <c r="F53" s="40">
        <v>1335300</v>
      </c>
      <c r="G53" s="40"/>
      <c r="H53" s="24"/>
      <c r="I53" s="15"/>
      <c r="J53" s="24">
        <f t="shared" si="9"/>
        <v>0</v>
      </c>
      <c r="K53" s="40"/>
      <c r="L53" s="40"/>
      <c r="M53" s="36"/>
      <c r="N53" s="40">
        <f>O53</f>
        <v>0</v>
      </c>
      <c r="O53" s="40"/>
      <c r="P53" s="14">
        <f t="shared" si="1"/>
        <v>1335300</v>
      </c>
      <c r="Q53" s="48"/>
      <c r="R53" s="48">
        <f t="shared" si="2"/>
        <v>1335300</v>
      </c>
      <c r="S53" s="48"/>
      <c r="T53" s="5"/>
      <c r="U53" s="8">
        <f t="shared" si="3"/>
        <v>1335300</v>
      </c>
      <c r="V53" s="8"/>
      <c r="X53" s="8"/>
    </row>
    <row r="54" spans="1:24" s="6" customFormat="1" ht="26.25">
      <c r="A54" s="3">
        <v>1412190</v>
      </c>
      <c r="B54" s="7" t="s">
        <v>147</v>
      </c>
      <c r="C54" s="7" t="s">
        <v>148</v>
      </c>
      <c r="D54" s="42" t="s">
        <v>18</v>
      </c>
      <c r="E54" s="24">
        <f t="shared" si="8"/>
        <v>8073108</v>
      </c>
      <c r="F54" s="40">
        <f>7916800+156308</f>
        <v>8073108</v>
      </c>
      <c r="G54" s="40"/>
      <c r="H54" s="40"/>
      <c r="I54" s="16"/>
      <c r="J54" s="24">
        <f t="shared" si="9"/>
        <v>33000</v>
      </c>
      <c r="K54" s="40"/>
      <c r="L54" s="40"/>
      <c r="M54" s="40"/>
      <c r="N54" s="40">
        <f>O54</f>
        <v>33000</v>
      </c>
      <c r="O54" s="40">
        <v>33000</v>
      </c>
      <c r="P54" s="14">
        <f t="shared" si="1"/>
        <v>8106108</v>
      </c>
      <c r="Q54" s="48"/>
      <c r="R54" s="48">
        <f t="shared" si="2"/>
        <v>8106108</v>
      </c>
      <c r="S54" s="48"/>
      <c r="T54" s="5"/>
      <c r="U54" s="8">
        <f t="shared" si="3"/>
        <v>8106108</v>
      </c>
      <c r="V54" s="8"/>
      <c r="X54" s="8"/>
    </row>
    <row r="55" spans="1:24" s="6" customFormat="1" ht="66">
      <c r="A55" s="3">
        <v>1412200</v>
      </c>
      <c r="B55" s="7" t="s">
        <v>149</v>
      </c>
      <c r="C55" s="7" t="s">
        <v>148</v>
      </c>
      <c r="D55" s="43" t="s">
        <v>159</v>
      </c>
      <c r="E55" s="24">
        <f t="shared" si="8"/>
        <v>648800</v>
      </c>
      <c r="F55" s="40">
        <v>648800</v>
      </c>
      <c r="G55" s="40"/>
      <c r="H55" s="40"/>
      <c r="I55" s="16"/>
      <c r="J55" s="24">
        <f t="shared" si="9"/>
        <v>0</v>
      </c>
      <c r="K55" s="40"/>
      <c r="L55" s="40"/>
      <c r="M55" s="40"/>
      <c r="N55" s="40"/>
      <c r="O55" s="24"/>
      <c r="P55" s="14">
        <f t="shared" si="1"/>
        <v>648800</v>
      </c>
      <c r="Q55" s="48"/>
      <c r="R55" s="48">
        <f t="shared" si="2"/>
        <v>648800</v>
      </c>
      <c r="S55" s="48"/>
      <c r="T55" s="5"/>
      <c r="U55" s="8">
        <f t="shared" si="3"/>
        <v>648800</v>
      </c>
      <c r="V55" s="8"/>
      <c r="X55" s="8"/>
    </row>
    <row r="56" spans="1:24" s="6" customFormat="1" ht="26.25" hidden="1">
      <c r="A56" s="3">
        <v>1412212</v>
      </c>
      <c r="B56" s="7" t="s">
        <v>150</v>
      </c>
      <c r="C56" s="7" t="s">
        <v>148</v>
      </c>
      <c r="D56" s="43" t="s">
        <v>49</v>
      </c>
      <c r="E56" s="24">
        <f t="shared" si="8"/>
        <v>0</v>
      </c>
      <c r="F56" s="40"/>
      <c r="G56" s="40"/>
      <c r="H56" s="40"/>
      <c r="I56" s="16"/>
      <c r="J56" s="24">
        <f t="shared" si="9"/>
        <v>0</v>
      </c>
      <c r="K56" s="40"/>
      <c r="L56" s="40"/>
      <c r="M56" s="40"/>
      <c r="N56" s="40"/>
      <c r="O56" s="24"/>
      <c r="P56" s="14">
        <f t="shared" si="1"/>
        <v>0</v>
      </c>
      <c r="Q56" s="48"/>
      <c r="R56" s="48">
        <f t="shared" si="2"/>
        <v>0</v>
      </c>
      <c r="S56" s="48"/>
      <c r="T56" s="5"/>
      <c r="U56" s="8">
        <f t="shared" si="3"/>
        <v>0</v>
      </c>
      <c r="V56" s="8"/>
      <c r="X56" s="8"/>
    </row>
    <row r="57" spans="1:24" s="6" customFormat="1" ht="26.25">
      <c r="A57" s="3">
        <v>1412210</v>
      </c>
      <c r="B57" s="7" t="s">
        <v>221</v>
      </c>
      <c r="C57" s="7"/>
      <c r="D57" s="113" t="s">
        <v>222</v>
      </c>
      <c r="E57" s="24">
        <f t="shared" si="8"/>
        <v>9706500</v>
      </c>
      <c r="F57" s="40">
        <f>F58</f>
        <v>9706500</v>
      </c>
      <c r="G57" s="40">
        <f>G58</f>
        <v>0</v>
      </c>
      <c r="H57" s="40">
        <f>H58</f>
        <v>0</v>
      </c>
      <c r="I57" s="40">
        <f>I58</f>
        <v>0</v>
      </c>
      <c r="J57" s="24">
        <f t="shared" si="9"/>
        <v>0</v>
      </c>
      <c r="K57" s="40">
        <f>K58</f>
        <v>0</v>
      </c>
      <c r="L57" s="40">
        <f>L58</f>
        <v>0</v>
      </c>
      <c r="M57" s="40">
        <f>M58</f>
        <v>0</v>
      </c>
      <c r="N57" s="40">
        <f>N58</f>
        <v>0</v>
      </c>
      <c r="O57" s="40">
        <f>O58</f>
        <v>0</v>
      </c>
      <c r="P57" s="14">
        <f t="shared" si="1"/>
        <v>9706500</v>
      </c>
      <c r="Q57" s="48"/>
      <c r="R57" s="48">
        <f t="shared" si="2"/>
        <v>9706500</v>
      </c>
      <c r="S57" s="48"/>
      <c r="T57" s="5"/>
      <c r="U57" s="8">
        <f t="shared" si="3"/>
        <v>9706500</v>
      </c>
      <c r="V57" s="8"/>
      <c r="X57" s="8"/>
    </row>
    <row r="58" spans="1:24" s="59" customFormat="1" ht="39">
      <c r="A58" s="51">
        <v>1412214</v>
      </c>
      <c r="B58" s="52" t="s">
        <v>151</v>
      </c>
      <c r="C58" s="52" t="s">
        <v>148</v>
      </c>
      <c r="D58" s="63" t="s">
        <v>19</v>
      </c>
      <c r="E58" s="54">
        <f t="shared" si="8"/>
        <v>9706500</v>
      </c>
      <c r="F58" s="55">
        <f>22723500-13017000</f>
        <v>9706500</v>
      </c>
      <c r="G58" s="54"/>
      <c r="H58" s="54"/>
      <c r="I58" s="60"/>
      <c r="J58" s="54">
        <f t="shared" si="9"/>
        <v>0</v>
      </c>
      <c r="K58" s="54"/>
      <c r="L58" s="54"/>
      <c r="M58" s="54"/>
      <c r="N58" s="54"/>
      <c r="O58" s="54"/>
      <c r="P58" s="14">
        <f t="shared" si="1"/>
        <v>9706500</v>
      </c>
      <c r="Q58" s="57"/>
      <c r="R58" s="48">
        <f t="shared" si="2"/>
        <v>9706500</v>
      </c>
      <c r="S58" s="57"/>
      <c r="T58" s="67"/>
      <c r="U58" s="8">
        <f t="shared" si="3"/>
        <v>9706500</v>
      </c>
      <c r="V58" s="58"/>
      <c r="X58" s="58"/>
    </row>
    <row r="59" spans="1:24" s="6" customFormat="1" ht="26.25" hidden="1">
      <c r="A59" s="3">
        <v>1412215</v>
      </c>
      <c r="B59" s="23" t="s">
        <v>152</v>
      </c>
      <c r="C59" s="23" t="s">
        <v>148</v>
      </c>
      <c r="D59" s="12" t="s">
        <v>45</v>
      </c>
      <c r="E59" s="24">
        <f t="shared" si="8"/>
        <v>0</v>
      </c>
      <c r="F59" s="41"/>
      <c r="G59" s="40"/>
      <c r="H59" s="36"/>
      <c r="I59" s="14"/>
      <c r="J59" s="24">
        <f t="shared" si="9"/>
        <v>0</v>
      </c>
      <c r="K59" s="40"/>
      <c r="L59" s="40"/>
      <c r="M59" s="36"/>
      <c r="N59" s="40"/>
      <c r="O59" s="40"/>
      <c r="P59" s="14">
        <f t="shared" si="1"/>
        <v>0</v>
      </c>
      <c r="Q59" s="48"/>
      <c r="R59" s="48">
        <f t="shared" si="2"/>
        <v>0</v>
      </c>
      <c r="S59" s="48"/>
      <c r="T59" s="5"/>
      <c r="U59" s="8">
        <f t="shared" si="3"/>
        <v>0</v>
      </c>
      <c r="V59" s="8"/>
      <c r="X59" s="8"/>
    </row>
    <row r="60" spans="1:24" s="6" customFormat="1" ht="12.75">
      <c r="A60" s="3">
        <v>1412220</v>
      </c>
      <c r="B60" s="23" t="s">
        <v>191</v>
      </c>
      <c r="C60" s="7" t="s">
        <v>148</v>
      </c>
      <c r="D60" s="12" t="s">
        <v>192</v>
      </c>
      <c r="E60" s="24">
        <f t="shared" si="8"/>
        <v>58472573</v>
      </c>
      <c r="F60" s="41">
        <f>72694173-16605400+2237000+146800</f>
        <v>58472573</v>
      </c>
      <c r="G60" s="40"/>
      <c r="H60" s="24"/>
      <c r="I60" s="14"/>
      <c r="J60" s="24">
        <f t="shared" si="9"/>
        <v>1086400</v>
      </c>
      <c r="K60" s="40">
        <v>86100</v>
      </c>
      <c r="L60" s="40"/>
      <c r="M60" s="24"/>
      <c r="N60" s="40">
        <f>O60</f>
        <v>1000300</v>
      </c>
      <c r="O60" s="40">
        <f>4981600+495000+330000+56500+118800-4981600</f>
        <v>1000300</v>
      </c>
      <c r="P60" s="14">
        <f t="shared" si="1"/>
        <v>59558973</v>
      </c>
      <c r="Q60" s="48"/>
      <c r="R60" s="48">
        <f t="shared" si="2"/>
        <v>59558973</v>
      </c>
      <c r="S60" s="48"/>
      <c r="T60" s="5"/>
      <c r="U60" s="8">
        <f t="shared" si="3"/>
        <v>59558973</v>
      </c>
      <c r="V60" s="8"/>
      <c r="X60" s="8"/>
    </row>
    <row r="61" spans="1:24" s="6" customFormat="1" ht="12.75">
      <c r="A61" s="3">
        <v>1414060</v>
      </c>
      <c r="B61" s="7" t="s">
        <v>153</v>
      </c>
      <c r="C61" s="7" t="s">
        <v>154</v>
      </c>
      <c r="D61" s="31" t="s">
        <v>20</v>
      </c>
      <c r="E61" s="44">
        <f t="shared" si="8"/>
        <v>1602800</v>
      </c>
      <c r="F61" s="45">
        <v>1602800</v>
      </c>
      <c r="G61" s="45">
        <v>1275400</v>
      </c>
      <c r="H61" s="45">
        <v>42560</v>
      </c>
      <c r="I61" s="46"/>
      <c r="J61" s="44">
        <f t="shared" si="9"/>
        <v>0</v>
      </c>
      <c r="K61" s="45"/>
      <c r="L61" s="45"/>
      <c r="M61" s="45"/>
      <c r="N61" s="40">
        <f>O61</f>
        <v>0</v>
      </c>
      <c r="O61" s="45"/>
      <c r="P61" s="14">
        <f t="shared" si="1"/>
        <v>1602800</v>
      </c>
      <c r="Q61" s="48"/>
      <c r="R61" s="48">
        <f t="shared" si="2"/>
        <v>1602800</v>
      </c>
      <c r="S61" s="48"/>
      <c r="T61" s="5"/>
      <c r="U61" s="8">
        <f t="shared" si="3"/>
        <v>1602800</v>
      </c>
      <c r="V61" s="8"/>
      <c r="X61" s="8"/>
    </row>
    <row r="62" spans="1:24" s="64" customFormat="1" ht="52.5">
      <c r="A62" s="3">
        <v>1419110</v>
      </c>
      <c r="B62" s="7" t="s">
        <v>99</v>
      </c>
      <c r="C62" s="7" t="s">
        <v>97</v>
      </c>
      <c r="D62" s="92" t="s">
        <v>98</v>
      </c>
      <c r="E62" s="93">
        <f t="shared" si="8"/>
        <v>0</v>
      </c>
      <c r="F62" s="93"/>
      <c r="G62" s="93"/>
      <c r="H62" s="93"/>
      <c r="I62" s="94"/>
      <c r="J62" s="93">
        <f t="shared" si="9"/>
        <v>2700000</v>
      </c>
      <c r="K62" s="93"/>
      <c r="L62" s="93"/>
      <c r="M62" s="93"/>
      <c r="N62" s="40">
        <v>2700000</v>
      </c>
      <c r="O62" s="93"/>
      <c r="P62" s="14">
        <f t="shared" si="1"/>
        <v>2700000</v>
      </c>
      <c r="Q62" s="75"/>
      <c r="R62" s="75">
        <f t="shared" si="2"/>
        <v>2700000</v>
      </c>
      <c r="S62" s="75"/>
      <c r="T62" s="76"/>
      <c r="U62" s="8">
        <f t="shared" si="3"/>
        <v>2700000</v>
      </c>
      <c r="V62" s="77"/>
      <c r="X62" s="77"/>
    </row>
    <row r="63" spans="1:24" s="64" customFormat="1" ht="26.25">
      <c r="A63" s="3">
        <v>1416310</v>
      </c>
      <c r="B63" s="23" t="s">
        <v>193</v>
      </c>
      <c r="C63" s="23" t="s">
        <v>194</v>
      </c>
      <c r="D63" s="95" t="s">
        <v>42</v>
      </c>
      <c r="E63" s="93">
        <f t="shared" si="8"/>
        <v>0</v>
      </c>
      <c r="F63" s="93"/>
      <c r="G63" s="93"/>
      <c r="H63" s="93"/>
      <c r="I63" s="94"/>
      <c r="J63" s="93">
        <f t="shared" si="9"/>
        <v>3709300</v>
      </c>
      <c r="K63" s="93"/>
      <c r="L63" s="93"/>
      <c r="M63" s="93"/>
      <c r="N63" s="93">
        <f>O63</f>
        <v>3709300</v>
      </c>
      <c r="O63" s="93">
        <f>10000000+5018400-8900000-2409100</f>
        <v>3709300</v>
      </c>
      <c r="P63" s="14">
        <f t="shared" si="1"/>
        <v>3709300</v>
      </c>
      <c r="Q63" s="75"/>
      <c r="R63" s="75">
        <f t="shared" si="2"/>
        <v>3709300</v>
      </c>
      <c r="S63" s="75"/>
      <c r="T63" s="76"/>
      <c r="U63" s="8">
        <f t="shared" si="3"/>
        <v>3709300</v>
      </c>
      <c r="V63" s="77"/>
      <c r="X63" s="77"/>
    </row>
    <row r="64" spans="1:24" s="9" customFormat="1" ht="39">
      <c r="A64" s="2">
        <v>1500000</v>
      </c>
      <c r="B64" s="22"/>
      <c r="C64" s="22"/>
      <c r="D64" s="10" t="s">
        <v>111</v>
      </c>
      <c r="E64" s="80">
        <f t="shared" si="8"/>
        <v>111731791.5</v>
      </c>
      <c r="F64" s="80">
        <f>F65</f>
        <v>111731791.5</v>
      </c>
      <c r="G64" s="36">
        <f>G65</f>
        <v>57920000</v>
      </c>
      <c r="H64" s="36">
        <f>H65</f>
        <v>12819690</v>
      </c>
      <c r="I64" s="36">
        <f>I65</f>
        <v>0</v>
      </c>
      <c r="J64" s="80">
        <f t="shared" si="9"/>
        <v>46847263.43</v>
      </c>
      <c r="K64" s="36">
        <f>K65</f>
        <v>33567800</v>
      </c>
      <c r="L64" s="36">
        <f>L65</f>
        <v>205400</v>
      </c>
      <c r="M64" s="36">
        <f>M65</f>
        <v>46700</v>
      </c>
      <c r="N64" s="80">
        <f>N65</f>
        <v>13279463.43</v>
      </c>
      <c r="O64" s="80">
        <f>O65</f>
        <v>9863463.43</v>
      </c>
      <c r="P64" s="124">
        <f t="shared" si="1"/>
        <v>158579054.93</v>
      </c>
      <c r="Q64" s="48">
        <v>140746900</v>
      </c>
      <c r="R64" s="48">
        <f t="shared" si="2"/>
        <v>17832154.930000007</v>
      </c>
      <c r="S64" s="48"/>
      <c r="T64" s="5">
        <v>150925934.93</v>
      </c>
      <c r="U64" s="8">
        <f t="shared" si="3"/>
        <v>7653120</v>
      </c>
      <c r="V64" s="8"/>
      <c r="X64" s="8"/>
    </row>
    <row r="65" spans="1:24" s="9" customFormat="1" ht="39">
      <c r="A65" s="2">
        <v>1510000</v>
      </c>
      <c r="B65" s="22"/>
      <c r="C65" s="22"/>
      <c r="D65" s="10" t="s">
        <v>108</v>
      </c>
      <c r="E65" s="80">
        <f t="shared" si="8"/>
        <v>111731791.5</v>
      </c>
      <c r="F65" s="80">
        <f>F66+F67+F70+F72+F73</f>
        <v>111731791.5</v>
      </c>
      <c r="G65" s="36">
        <f>G66+G67+G70+G72+G73</f>
        <v>57920000</v>
      </c>
      <c r="H65" s="36">
        <f>H66+H67+H70+H72+H73</f>
        <v>12819690</v>
      </c>
      <c r="I65" s="36">
        <f>I66+I67+I70+I72+I73</f>
        <v>0</v>
      </c>
      <c r="J65" s="80">
        <f t="shared" si="9"/>
        <v>46847263.43</v>
      </c>
      <c r="K65" s="36">
        <f>K66+K67+K70+K72+K73</f>
        <v>33567800</v>
      </c>
      <c r="L65" s="36">
        <f>L66+L67+L70+L72+L73</f>
        <v>205400</v>
      </c>
      <c r="M65" s="36">
        <f>M66+M67+M70+M72+M73</f>
        <v>46700</v>
      </c>
      <c r="N65" s="80">
        <f>N66+N67+N70+N72+N73</f>
        <v>13279463.43</v>
      </c>
      <c r="O65" s="80">
        <f>O66+O67+O70+O72+O73</f>
        <v>9863463.43</v>
      </c>
      <c r="P65" s="124">
        <f t="shared" si="1"/>
        <v>158579054.93</v>
      </c>
      <c r="Q65" s="48"/>
      <c r="R65" s="48">
        <f t="shared" si="2"/>
        <v>158579054.93</v>
      </c>
      <c r="S65" s="48"/>
      <c r="T65" s="5"/>
      <c r="U65" s="8">
        <f t="shared" si="3"/>
        <v>158579054.93</v>
      </c>
      <c r="V65" s="8"/>
      <c r="X65" s="8"/>
    </row>
    <row r="66" spans="1:24" s="6" customFormat="1" ht="26.25">
      <c r="A66" s="3">
        <v>1513400</v>
      </c>
      <c r="B66" s="7" t="s">
        <v>113</v>
      </c>
      <c r="C66" s="7" t="s">
        <v>76</v>
      </c>
      <c r="D66" s="33" t="s">
        <v>44</v>
      </c>
      <c r="E66" s="125">
        <f t="shared" si="8"/>
        <v>11565725.5</v>
      </c>
      <c r="F66" s="125">
        <f>4914000+2000000+356694.25+2000000+2000000+500000-326848.75+130000-8120</f>
        <v>11565725.5</v>
      </c>
      <c r="G66" s="24"/>
      <c r="H66" s="24"/>
      <c r="I66" s="24"/>
      <c r="J66" s="125">
        <f t="shared" si="9"/>
        <v>10049219.43</v>
      </c>
      <c r="K66" s="24">
        <v>3887500</v>
      </c>
      <c r="L66" s="24">
        <v>205400</v>
      </c>
      <c r="M66" s="24">
        <v>19700</v>
      </c>
      <c r="N66" s="125">
        <f>2371200+O66</f>
        <v>6161719.43</v>
      </c>
      <c r="O66" s="125">
        <f>1000000+2455550.68+326848.75+8120</f>
        <v>3790519.43</v>
      </c>
      <c r="P66" s="124">
        <f t="shared" si="1"/>
        <v>21614944.93</v>
      </c>
      <c r="Q66" s="48"/>
      <c r="R66" s="48">
        <f t="shared" si="2"/>
        <v>21614944.93</v>
      </c>
      <c r="S66" s="48"/>
      <c r="T66" s="5"/>
      <c r="U66" s="8">
        <f t="shared" si="3"/>
        <v>21614944.93</v>
      </c>
      <c r="V66" s="8"/>
      <c r="X66" s="8"/>
    </row>
    <row r="67" spans="1:24" s="6" customFormat="1" ht="52.5">
      <c r="A67" s="3">
        <v>1513100</v>
      </c>
      <c r="B67" s="7" t="s">
        <v>212</v>
      </c>
      <c r="C67" s="7"/>
      <c r="D67" s="33" t="s">
        <v>213</v>
      </c>
      <c r="E67" s="24">
        <f t="shared" si="8"/>
        <v>96571166</v>
      </c>
      <c r="F67" s="24">
        <f>F68+F69</f>
        <v>96571166</v>
      </c>
      <c r="G67" s="24">
        <f>G68+G69</f>
        <v>55613900</v>
      </c>
      <c r="H67" s="24">
        <f>H68+H69</f>
        <v>12707890</v>
      </c>
      <c r="I67" s="24">
        <f>I68+I69</f>
        <v>0</v>
      </c>
      <c r="J67" s="24">
        <f t="shared" si="9"/>
        <v>36798044</v>
      </c>
      <c r="K67" s="24">
        <f>K68+K69</f>
        <v>29680300</v>
      </c>
      <c r="L67" s="24">
        <f>L68+L69</f>
        <v>0</v>
      </c>
      <c r="M67" s="24">
        <f>M68+M69</f>
        <v>27000</v>
      </c>
      <c r="N67" s="24">
        <f>N68+N69</f>
        <v>7117744</v>
      </c>
      <c r="O67" s="24">
        <f>O68+O69</f>
        <v>6072944</v>
      </c>
      <c r="P67" s="14">
        <f t="shared" si="1"/>
        <v>133369210</v>
      </c>
      <c r="Q67" s="48"/>
      <c r="R67" s="48">
        <f t="shared" si="2"/>
        <v>133369210</v>
      </c>
      <c r="S67" s="48"/>
      <c r="T67" s="5"/>
      <c r="U67" s="8">
        <f t="shared" si="3"/>
        <v>133369210</v>
      </c>
      <c r="V67" s="8"/>
      <c r="X67" s="8"/>
    </row>
    <row r="68" spans="1:24" s="59" customFormat="1" ht="52.5">
      <c r="A68" s="51">
        <v>1513101</v>
      </c>
      <c r="B68" s="52" t="s">
        <v>171</v>
      </c>
      <c r="C68" s="52" t="s">
        <v>172</v>
      </c>
      <c r="D68" s="53" t="s">
        <v>51</v>
      </c>
      <c r="E68" s="54">
        <f t="shared" si="8"/>
        <v>5850600</v>
      </c>
      <c r="F68" s="55">
        <f>5771700+63900+15000</f>
        <v>5850600</v>
      </c>
      <c r="G68" s="55">
        <v>3549000</v>
      </c>
      <c r="H68" s="54">
        <f>839200+15000</f>
        <v>854200</v>
      </c>
      <c r="I68" s="60"/>
      <c r="J68" s="54">
        <f t="shared" si="9"/>
        <v>1659370</v>
      </c>
      <c r="K68" s="55">
        <v>1126100</v>
      </c>
      <c r="L68" s="55"/>
      <c r="M68" s="54">
        <v>5000</v>
      </c>
      <c r="N68" s="55">
        <f>80000+O68</f>
        <v>533270</v>
      </c>
      <c r="O68" s="54">
        <f>420000+15000+18270</f>
        <v>453270</v>
      </c>
      <c r="P68" s="14">
        <f t="shared" si="1"/>
        <v>7509970</v>
      </c>
      <c r="Q68" s="57"/>
      <c r="R68" s="48">
        <f t="shared" si="2"/>
        <v>7509970</v>
      </c>
      <c r="S68" s="57"/>
      <c r="T68" s="67"/>
      <c r="U68" s="8">
        <f t="shared" si="3"/>
        <v>7509970</v>
      </c>
      <c r="V68" s="58"/>
      <c r="X68" s="58"/>
    </row>
    <row r="69" spans="1:24" s="59" customFormat="1" ht="118.5">
      <c r="A69" s="51">
        <v>1513102</v>
      </c>
      <c r="B69" s="52" t="s">
        <v>173</v>
      </c>
      <c r="C69" s="52" t="s">
        <v>174</v>
      </c>
      <c r="D69" s="53" t="s">
        <v>52</v>
      </c>
      <c r="E69" s="54">
        <f t="shared" si="8"/>
        <v>90720566</v>
      </c>
      <c r="F69" s="55">
        <f>89608600+1086826+25140</f>
        <v>90720566</v>
      </c>
      <c r="G69" s="55">
        <v>52064900</v>
      </c>
      <c r="H69" s="54">
        <f>11372700+480990</f>
        <v>11853690</v>
      </c>
      <c r="I69" s="60"/>
      <c r="J69" s="54">
        <f t="shared" si="9"/>
        <v>35138674</v>
      </c>
      <c r="K69" s="55">
        <v>28554200</v>
      </c>
      <c r="L69" s="55"/>
      <c r="M69" s="54">
        <v>22000</v>
      </c>
      <c r="N69" s="55">
        <f>964800+O69</f>
        <v>6584474</v>
      </c>
      <c r="O69" s="54">
        <f>1560380+420000+387000+326360+298000+290000+295440+185170+169440+1642684+45200</f>
        <v>5619674</v>
      </c>
      <c r="P69" s="14">
        <f t="shared" si="1"/>
        <v>125859240</v>
      </c>
      <c r="Q69" s="57"/>
      <c r="R69" s="48">
        <f t="shared" si="2"/>
        <v>125859240</v>
      </c>
      <c r="S69" s="57"/>
      <c r="T69" s="67"/>
      <c r="U69" s="8">
        <f t="shared" si="3"/>
        <v>125859240</v>
      </c>
      <c r="V69" s="58"/>
      <c r="X69" s="58"/>
    </row>
    <row r="70" spans="1:24" s="6" customFormat="1" ht="26.25">
      <c r="A70" s="3">
        <v>1513200</v>
      </c>
      <c r="B70" s="7" t="s">
        <v>214</v>
      </c>
      <c r="C70" s="7"/>
      <c r="D70" s="33" t="s">
        <v>215</v>
      </c>
      <c r="E70" s="24">
        <f t="shared" si="8"/>
        <v>400000</v>
      </c>
      <c r="F70" s="40">
        <f>F71</f>
        <v>400000</v>
      </c>
      <c r="G70" s="40">
        <f>G71</f>
        <v>0</v>
      </c>
      <c r="H70" s="40">
        <f>H71</f>
        <v>0</v>
      </c>
      <c r="I70" s="40">
        <f>I71</f>
        <v>0</v>
      </c>
      <c r="J70" s="24">
        <f t="shared" si="9"/>
        <v>0</v>
      </c>
      <c r="K70" s="40">
        <f>K71</f>
        <v>0</v>
      </c>
      <c r="L70" s="40">
        <f>L71</f>
        <v>0</v>
      </c>
      <c r="M70" s="40">
        <f>M71</f>
        <v>0</v>
      </c>
      <c r="N70" s="40">
        <f>N71</f>
        <v>0</v>
      </c>
      <c r="O70" s="40">
        <f>O71</f>
        <v>0</v>
      </c>
      <c r="P70" s="14">
        <f t="shared" si="1"/>
        <v>400000</v>
      </c>
      <c r="Q70" s="48"/>
      <c r="R70" s="48">
        <f t="shared" si="2"/>
        <v>400000</v>
      </c>
      <c r="S70" s="48"/>
      <c r="T70" s="5"/>
      <c r="U70" s="8">
        <f t="shared" si="3"/>
        <v>400000</v>
      </c>
      <c r="V70" s="8"/>
      <c r="X70" s="8"/>
    </row>
    <row r="71" spans="1:24" s="59" customFormat="1" ht="52.5">
      <c r="A71" s="51">
        <v>1513202</v>
      </c>
      <c r="B71" s="52" t="s">
        <v>175</v>
      </c>
      <c r="C71" s="52" t="s">
        <v>176</v>
      </c>
      <c r="D71" s="53" t="s">
        <v>21</v>
      </c>
      <c r="E71" s="54">
        <f t="shared" si="8"/>
        <v>400000</v>
      </c>
      <c r="F71" s="55">
        <v>400000</v>
      </c>
      <c r="G71" s="55"/>
      <c r="H71" s="55"/>
      <c r="I71" s="56"/>
      <c r="J71" s="54">
        <f t="shared" si="9"/>
        <v>0</v>
      </c>
      <c r="K71" s="55"/>
      <c r="L71" s="55"/>
      <c r="M71" s="55"/>
      <c r="N71" s="55"/>
      <c r="O71" s="54"/>
      <c r="P71" s="14">
        <f t="shared" si="1"/>
        <v>400000</v>
      </c>
      <c r="Q71" s="57"/>
      <c r="R71" s="48">
        <f t="shared" si="2"/>
        <v>400000</v>
      </c>
      <c r="S71" s="57"/>
      <c r="T71" s="67"/>
      <c r="U71" s="8">
        <f t="shared" si="3"/>
        <v>400000</v>
      </c>
      <c r="V71" s="58"/>
      <c r="X71" s="58"/>
    </row>
    <row r="72" spans="1:24" s="6" customFormat="1" ht="39">
      <c r="A72" s="3">
        <v>1513220</v>
      </c>
      <c r="B72" s="7" t="s">
        <v>177</v>
      </c>
      <c r="C72" s="7" t="s">
        <v>76</v>
      </c>
      <c r="D72" s="33" t="s">
        <v>22</v>
      </c>
      <c r="E72" s="24">
        <f t="shared" si="8"/>
        <v>2657800</v>
      </c>
      <c r="F72" s="40">
        <f>2531700+126100</f>
        <v>2657800</v>
      </c>
      <c r="G72" s="40">
        <v>1889100</v>
      </c>
      <c r="H72" s="40">
        <v>96700</v>
      </c>
      <c r="I72" s="16"/>
      <c r="J72" s="24">
        <f t="shared" si="9"/>
        <v>0</v>
      </c>
      <c r="K72" s="40"/>
      <c r="L72" s="40"/>
      <c r="M72" s="40"/>
      <c r="N72" s="40"/>
      <c r="O72" s="24"/>
      <c r="P72" s="14">
        <f t="shared" si="1"/>
        <v>2657800</v>
      </c>
      <c r="Q72" s="48"/>
      <c r="R72" s="48">
        <f t="shared" si="2"/>
        <v>2657800</v>
      </c>
      <c r="S72" s="48"/>
      <c r="T72" s="5"/>
      <c r="U72" s="8">
        <f t="shared" si="3"/>
        <v>2657800</v>
      </c>
      <c r="V72" s="8"/>
      <c r="X72" s="8"/>
    </row>
    <row r="73" spans="1:24" s="6" customFormat="1" ht="12.75">
      <c r="A73" s="3">
        <v>1513300</v>
      </c>
      <c r="B73" s="7" t="s">
        <v>179</v>
      </c>
      <c r="C73" s="7" t="s">
        <v>76</v>
      </c>
      <c r="D73" s="33" t="s">
        <v>178</v>
      </c>
      <c r="E73" s="24">
        <f t="shared" si="8"/>
        <v>537100</v>
      </c>
      <c r="F73" s="40">
        <v>537100</v>
      </c>
      <c r="G73" s="40">
        <v>417000</v>
      </c>
      <c r="H73" s="40">
        <v>15100</v>
      </c>
      <c r="I73" s="16"/>
      <c r="J73" s="24">
        <f t="shared" si="9"/>
        <v>0</v>
      </c>
      <c r="K73" s="40"/>
      <c r="L73" s="40"/>
      <c r="M73" s="40"/>
      <c r="N73" s="40"/>
      <c r="O73" s="24"/>
      <c r="P73" s="14">
        <f t="shared" si="1"/>
        <v>537100</v>
      </c>
      <c r="Q73" s="48"/>
      <c r="R73" s="48">
        <f t="shared" si="2"/>
        <v>537100</v>
      </c>
      <c r="S73" s="48"/>
      <c r="T73" s="5"/>
      <c r="U73" s="8">
        <f t="shared" si="3"/>
        <v>537100</v>
      </c>
      <c r="V73" s="8"/>
      <c r="X73" s="8"/>
    </row>
    <row r="74" spans="1:24" s="9" customFormat="1" ht="26.25">
      <c r="A74" s="2">
        <v>1100000</v>
      </c>
      <c r="B74" s="4"/>
      <c r="C74" s="4"/>
      <c r="D74" s="34" t="s">
        <v>195</v>
      </c>
      <c r="E74" s="36">
        <f t="shared" si="8"/>
        <v>27909925</v>
      </c>
      <c r="F74" s="36">
        <f>F75</f>
        <v>27909925</v>
      </c>
      <c r="G74" s="36">
        <f>G75</f>
        <v>9406371</v>
      </c>
      <c r="H74" s="36">
        <f>H75</f>
        <v>947900</v>
      </c>
      <c r="I74" s="36">
        <f>I75</f>
        <v>0</v>
      </c>
      <c r="J74" s="36">
        <f t="shared" si="9"/>
        <v>1212278</v>
      </c>
      <c r="K74" s="36">
        <f>K75</f>
        <v>205000</v>
      </c>
      <c r="L74" s="36">
        <f>L75</f>
        <v>0</v>
      </c>
      <c r="M74" s="36">
        <f>M75</f>
        <v>0</v>
      </c>
      <c r="N74" s="36">
        <f>N75</f>
        <v>1007278</v>
      </c>
      <c r="O74" s="36">
        <f>O75</f>
        <v>1007278</v>
      </c>
      <c r="P74" s="14">
        <f t="shared" si="1"/>
        <v>29122203</v>
      </c>
      <c r="Q74" s="48">
        <v>27528100</v>
      </c>
      <c r="R74" s="48">
        <f t="shared" si="2"/>
        <v>1594103</v>
      </c>
      <c r="S74" s="48"/>
      <c r="T74" s="5">
        <v>27805100</v>
      </c>
      <c r="U74" s="8">
        <f t="shared" si="3"/>
        <v>1317103</v>
      </c>
      <c r="V74" s="8"/>
      <c r="X74" s="8"/>
    </row>
    <row r="75" spans="1:24" s="9" customFormat="1" ht="26.25">
      <c r="A75" s="2">
        <v>1110000</v>
      </c>
      <c r="B75" s="4"/>
      <c r="C75" s="4"/>
      <c r="D75" s="34" t="s">
        <v>196</v>
      </c>
      <c r="E75" s="36">
        <f t="shared" si="8"/>
        <v>27909925</v>
      </c>
      <c r="F75" s="36">
        <f>F76+F78+F81+F83+F84+F87+F90+F94+F96</f>
        <v>27909925</v>
      </c>
      <c r="G75" s="36">
        <f>G76+G78+G81+G83+G84+G87+G90+G94+G96</f>
        <v>9406371</v>
      </c>
      <c r="H75" s="36">
        <f>H76+H78+H81+H83+H84+H87+H90+H94+H96</f>
        <v>947900</v>
      </c>
      <c r="I75" s="36">
        <f>I76+I78+I82+I83+I84+I90+I95+I87+I96</f>
        <v>0</v>
      </c>
      <c r="J75" s="36">
        <f aca="true" t="shared" si="10" ref="J75:O75">J76+J78+J81+J83+J84+J87+J90+J94+J96</f>
        <v>1212278</v>
      </c>
      <c r="K75" s="36">
        <f t="shared" si="10"/>
        <v>205000</v>
      </c>
      <c r="L75" s="36">
        <f t="shared" si="10"/>
        <v>0</v>
      </c>
      <c r="M75" s="36">
        <f t="shared" si="10"/>
        <v>0</v>
      </c>
      <c r="N75" s="36">
        <f t="shared" si="10"/>
        <v>1007278</v>
      </c>
      <c r="O75" s="36">
        <f t="shared" si="10"/>
        <v>1007278</v>
      </c>
      <c r="P75" s="14">
        <f t="shared" si="1"/>
        <v>29122203</v>
      </c>
      <c r="Q75" s="48"/>
      <c r="R75" s="48">
        <f t="shared" si="2"/>
        <v>29122203</v>
      </c>
      <c r="S75" s="48"/>
      <c r="T75" s="5"/>
      <c r="U75" s="8">
        <f t="shared" si="3"/>
        <v>29122203</v>
      </c>
      <c r="V75" s="8"/>
      <c r="X75" s="8"/>
    </row>
    <row r="76" spans="1:24" s="6" customFormat="1" ht="26.25">
      <c r="A76" s="3">
        <v>1113110</v>
      </c>
      <c r="B76" s="7" t="s">
        <v>216</v>
      </c>
      <c r="C76" s="7"/>
      <c r="D76" s="31" t="s">
        <v>217</v>
      </c>
      <c r="E76" s="36">
        <f t="shared" si="8"/>
        <v>637000</v>
      </c>
      <c r="F76" s="24">
        <f>F77</f>
        <v>637000</v>
      </c>
      <c r="G76" s="24">
        <f>G77</f>
        <v>377800</v>
      </c>
      <c r="H76" s="24">
        <f>H77</f>
        <v>49400</v>
      </c>
      <c r="I76" s="24">
        <f>I77</f>
        <v>0</v>
      </c>
      <c r="J76" s="36">
        <f t="shared" si="9"/>
        <v>0</v>
      </c>
      <c r="K76" s="24">
        <f>K77</f>
        <v>0</v>
      </c>
      <c r="L76" s="24">
        <f>L77</f>
        <v>0</v>
      </c>
      <c r="M76" s="24">
        <f>M77</f>
        <v>0</v>
      </c>
      <c r="N76" s="24">
        <f>N77</f>
        <v>0</v>
      </c>
      <c r="O76" s="24">
        <f>O77</f>
        <v>0</v>
      </c>
      <c r="P76" s="14">
        <f t="shared" si="1"/>
        <v>637000</v>
      </c>
      <c r="Q76" s="61"/>
      <c r="R76" s="48">
        <f t="shared" si="2"/>
        <v>637000</v>
      </c>
      <c r="S76" s="61"/>
      <c r="T76" s="5"/>
      <c r="U76" s="8">
        <f t="shared" si="3"/>
        <v>637000</v>
      </c>
      <c r="V76" s="5"/>
      <c r="X76" s="5"/>
    </row>
    <row r="77" spans="1:24" s="59" customFormat="1" ht="39">
      <c r="A77" s="51">
        <v>1113111</v>
      </c>
      <c r="B77" s="52" t="s">
        <v>180</v>
      </c>
      <c r="C77" s="52" t="s">
        <v>67</v>
      </c>
      <c r="D77" s="53" t="s">
        <v>23</v>
      </c>
      <c r="E77" s="54">
        <f t="shared" si="8"/>
        <v>637000</v>
      </c>
      <c r="F77" s="54">
        <v>637000</v>
      </c>
      <c r="G77" s="54">
        <v>377800</v>
      </c>
      <c r="H77" s="54">
        <v>49400</v>
      </c>
      <c r="I77" s="60"/>
      <c r="J77" s="54">
        <f t="shared" si="9"/>
        <v>0</v>
      </c>
      <c r="K77" s="54"/>
      <c r="L77" s="54"/>
      <c r="M77" s="54"/>
      <c r="N77" s="54"/>
      <c r="O77" s="54"/>
      <c r="P77" s="14">
        <f t="shared" si="1"/>
        <v>637000</v>
      </c>
      <c r="Q77" s="57"/>
      <c r="R77" s="48">
        <f t="shared" si="2"/>
        <v>637000</v>
      </c>
      <c r="S77" s="57"/>
      <c r="T77" s="67"/>
      <c r="U77" s="8">
        <f t="shared" si="3"/>
        <v>637000</v>
      </c>
      <c r="V77" s="58"/>
      <c r="X77" s="58"/>
    </row>
    <row r="78" spans="1:24" s="6" customFormat="1" ht="26.25">
      <c r="A78" s="3">
        <v>1113130</v>
      </c>
      <c r="B78" s="7" t="s">
        <v>218</v>
      </c>
      <c r="C78" s="7"/>
      <c r="D78" s="33" t="s">
        <v>219</v>
      </c>
      <c r="E78" s="24">
        <f t="shared" si="8"/>
        <v>1202422</v>
      </c>
      <c r="F78" s="24">
        <f>F79+F80</f>
        <v>1202422</v>
      </c>
      <c r="G78" s="24">
        <f>G79+G80</f>
        <v>814026</v>
      </c>
      <c r="H78" s="24">
        <f>H79+H80</f>
        <v>55000</v>
      </c>
      <c r="I78" s="24">
        <f>I79+I80</f>
        <v>0</v>
      </c>
      <c r="J78" s="24">
        <f t="shared" si="9"/>
        <v>0</v>
      </c>
      <c r="K78" s="24">
        <f>K79+K80</f>
        <v>0</v>
      </c>
      <c r="L78" s="24">
        <f>L79+L80</f>
        <v>0</v>
      </c>
      <c r="M78" s="24">
        <f>M79+M80</f>
        <v>0</v>
      </c>
      <c r="N78" s="24">
        <f>N79+N80</f>
        <v>0</v>
      </c>
      <c r="O78" s="24">
        <f>O79+O80</f>
        <v>0</v>
      </c>
      <c r="P78" s="14">
        <f aca="true" t="shared" si="11" ref="P78:P140">E78+J78</f>
        <v>1202422</v>
      </c>
      <c r="Q78" s="48"/>
      <c r="R78" s="48">
        <f t="shared" si="2"/>
        <v>1202422</v>
      </c>
      <c r="S78" s="48"/>
      <c r="T78" s="5"/>
      <c r="U78" s="8">
        <f aca="true" t="shared" si="12" ref="U78:U140">P78-T78</f>
        <v>1202422</v>
      </c>
      <c r="V78" s="8"/>
      <c r="X78" s="8"/>
    </row>
    <row r="79" spans="1:24" s="59" customFormat="1" ht="26.25">
      <c r="A79" s="51">
        <v>1113131</v>
      </c>
      <c r="B79" s="52" t="s">
        <v>181</v>
      </c>
      <c r="C79" s="52" t="s">
        <v>67</v>
      </c>
      <c r="D79" s="53" t="s">
        <v>48</v>
      </c>
      <c r="E79" s="54">
        <f t="shared" si="8"/>
        <v>1151822</v>
      </c>
      <c r="F79" s="54">
        <f>1124200+27622</f>
        <v>1151822</v>
      </c>
      <c r="G79" s="54">
        <f>790700+23326</f>
        <v>814026</v>
      </c>
      <c r="H79" s="54">
        <v>55000</v>
      </c>
      <c r="I79" s="60"/>
      <c r="J79" s="54">
        <f t="shared" si="9"/>
        <v>0</v>
      </c>
      <c r="K79" s="54"/>
      <c r="L79" s="54"/>
      <c r="M79" s="54"/>
      <c r="N79" s="54"/>
      <c r="O79" s="54"/>
      <c r="P79" s="14">
        <f t="shared" si="11"/>
        <v>1151822</v>
      </c>
      <c r="Q79" s="57"/>
      <c r="R79" s="48">
        <f t="shared" si="2"/>
        <v>1151822</v>
      </c>
      <c r="S79" s="57"/>
      <c r="T79" s="67"/>
      <c r="U79" s="8">
        <f t="shared" si="12"/>
        <v>1151822</v>
      </c>
      <c r="V79" s="58"/>
      <c r="X79" s="58"/>
    </row>
    <row r="80" spans="1:24" s="59" customFormat="1" ht="26.25">
      <c r="A80" s="51">
        <v>1113132</v>
      </c>
      <c r="B80" s="52" t="s">
        <v>182</v>
      </c>
      <c r="C80" s="52" t="s">
        <v>67</v>
      </c>
      <c r="D80" s="53" t="s">
        <v>34</v>
      </c>
      <c r="E80" s="54">
        <f aca="true" t="shared" si="13" ref="E80:E110">F80+I80</f>
        <v>50600</v>
      </c>
      <c r="F80" s="54">
        <v>50600</v>
      </c>
      <c r="G80" s="54"/>
      <c r="H80" s="54"/>
      <c r="I80" s="60"/>
      <c r="J80" s="54">
        <f aca="true" t="shared" si="14" ref="J80:J107">K80+N80</f>
        <v>0</v>
      </c>
      <c r="K80" s="54"/>
      <c r="L80" s="54"/>
      <c r="M80" s="54"/>
      <c r="N80" s="54"/>
      <c r="O80" s="54"/>
      <c r="P80" s="14">
        <f t="shared" si="11"/>
        <v>50600</v>
      </c>
      <c r="Q80" s="57"/>
      <c r="R80" s="48">
        <f aca="true" t="shared" si="15" ref="R80:R112">P80-Q80</f>
        <v>50600</v>
      </c>
      <c r="S80" s="57"/>
      <c r="T80" s="67"/>
      <c r="U80" s="8">
        <f t="shared" si="12"/>
        <v>50600</v>
      </c>
      <c r="V80" s="58"/>
      <c r="X80" s="58"/>
    </row>
    <row r="81" spans="1:24" s="64" customFormat="1" ht="26.25">
      <c r="A81" s="3">
        <v>1113140</v>
      </c>
      <c r="B81" s="7" t="s">
        <v>183</v>
      </c>
      <c r="C81" s="7"/>
      <c r="D81" s="33" t="s">
        <v>247</v>
      </c>
      <c r="E81" s="24">
        <f t="shared" si="13"/>
        <v>200000</v>
      </c>
      <c r="F81" s="24">
        <f>F82</f>
        <v>200000</v>
      </c>
      <c r="G81" s="24">
        <f>G82</f>
        <v>0</v>
      </c>
      <c r="H81" s="24">
        <f>H82</f>
        <v>0</v>
      </c>
      <c r="I81" s="24">
        <f>I82</f>
        <v>0</v>
      </c>
      <c r="J81" s="24">
        <f t="shared" si="14"/>
        <v>0</v>
      </c>
      <c r="K81" s="24">
        <f>K82</f>
        <v>0</v>
      </c>
      <c r="L81" s="24">
        <f>L82</f>
        <v>0</v>
      </c>
      <c r="M81" s="24">
        <f>M82</f>
        <v>0</v>
      </c>
      <c r="N81" s="24">
        <f>N82</f>
        <v>0</v>
      </c>
      <c r="O81" s="24">
        <f>O82</f>
        <v>0</v>
      </c>
      <c r="P81" s="14">
        <f t="shared" si="11"/>
        <v>200000</v>
      </c>
      <c r="Q81" s="48"/>
      <c r="R81" s="48">
        <f t="shared" si="15"/>
        <v>200000</v>
      </c>
      <c r="S81" s="48"/>
      <c r="T81" s="5"/>
      <c r="U81" s="8">
        <f t="shared" si="12"/>
        <v>200000</v>
      </c>
      <c r="V81" s="8"/>
      <c r="W81" s="6"/>
      <c r="X81" s="8"/>
    </row>
    <row r="82" spans="1:24" s="65" customFormat="1" ht="52.5">
      <c r="A82" s="51">
        <v>1113141</v>
      </c>
      <c r="B82" s="52" t="s">
        <v>248</v>
      </c>
      <c r="C82" s="52" t="s">
        <v>67</v>
      </c>
      <c r="D82" s="53" t="s">
        <v>254</v>
      </c>
      <c r="E82" s="54">
        <f t="shared" si="13"/>
        <v>200000</v>
      </c>
      <c r="F82" s="54">
        <v>200000</v>
      </c>
      <c r="G82" s="54"/>
      <c r="H82" s="54"/>
      <c r="I82" s="60"/>
      <c r="J82" s="54">
        <f t="shared" si="14"/>
        <v>0</v>
      </c>
      <c r="K82" s="54"/>
      <c r="L82" s="54"/>
      <c r="M82" s="54"/>
      <c r="N82" s="54"/>
      <c r="O82" s="54"/>
      <c r="P82" s="14">
        <f t="shared" si="11"/>
        <v>200000</v>
      </c>
      <c r="Q82" s="57"/>
      <c r="R82" s="48">
        <f t="shared" si="15"/>
        <v>200000</v>
      </c>
      <c r="S82" s="57"/>
      <c r="T82" s="67"/>
      <c r="U82" s="8">
        <f t="shared" si="12"/>
        <v>200000</v>
      </c>
      <c r="V82" s="58"/>
      <c r="W82" s="59"/>
      <c r="X82" s="58"/>
    </row>
    <row r="83" spans="1:24" s="6" customFormat="1" ht="12.75">
      <c r="A83" s="3">
        <v>1113500</v>
      </c>
      <c r="B83" s="7" t="s">
        <v>184</v>
      </c>
      <c r="C83" s="7" t="s">
        <v>67</v>
      </c>
      <c r="D83" s="33" t="s">
        <v>43</v>
      </c>
      <c r="E83" s="24">
        <f t="shared" si="13"/>
        <v>3450500</v>
      </c>
      <c r="F83" s="24">
        <v>3450500</v>
      </c>
      <c r="G83" s="24">
        <v>1626100</v>
      </c>
      <c r="H83" s="24">
        <v>710500</v>
      </c>
      <c r="I83" s="24"/>
      <c r="J83" s="24">
        <f t="shared" si="14"/>
        <v>205000</v>
      </c>
      <c r="K83" s="24">
        <v>205000</v>
      </c>
      <c r="L83" s="24"/>
      <c r="M83" s="24"/>
      <c r="N83" s="24"/>
      <c r="O83" s="24"/>
      <c r="P83" s="14">
        <f t="shared" si="11"/>
        <v>3655500</v>
      </c>
      <c r="Q83" s="48"/>
      <c r="R83" s="48">
        <f t="shared" si="15"/>
        <v>3655500</v>
      </c>
      <c r="S83" s="48"/>
      <c r="T83" s="5"/>
      <c r="U83" s="8">
        <f t="shared" si="12"/>
        <v>3655500</v>
      </c>
      <c r="V83" s="8"/>
      <c r="X83" s="8"/>
    </row>
    <row r="84" spans="1:24" s="6" customFormat="1" ht="12.75">
      <c r="A84" s="3">
        <v>1115010</v>
      </c>
      <c r="B84" s="7" t="s">
        <v>209</v>
      </c>
      <c r="C84" s="7"/>
      <c r="D84" s="33" t="s">
        <v>211</v>
      </c>
      <c r="E84" s="24">
        <f t="shared" si="13"/>
        <v>8451600</v>
      </c>
      <c r="F84" s="24">
        <f>F85+F86</f>
        <v>8451600</v>
      </c>
      <c r="G84" s="24">
        <f>G85+G86</f>
        <v>0</v>
      </c>
      <c r="H84" s="24">
        <f>H85+H86</f>
        <v>0</v>
      </c>
      <c r="I84" s="24">
        <f>I85+I86</f>
        <v>0</v>
      </c>
      <c r="J84" s="24">
        <f t="shared" si="14"/>
        <v>0</v>
      </c>
      <c r="K84" s="24">
        <f>K85+K86</f>
        <v>0</v>
      </c>
      <c r="L84" s="24">
        <f>L85+L86</f>
        <v>0</v>
      </c>
      <c r="M84" s="24">
        <f>M85+M86</f>
        <v>0</v>
      </c>
      <c r="N84" s="24">
        <f>N85+N86</f>
        <v>0</v>
      </c>
      <c r="O84" s="24">
        <f>O85+O86</f>
        <v>0</v>
      </c>
      <c r="P84" s="14">
        <f t="shared" si="11"/>
        <v>8451600</v>
      </c>
      <c r="Q84" s="48"/>
      <c r="R84" s="48">
        <f t="shared" si="15"/>
        <v>8451600</v>
      </c>
      <c r="S84" s="48"/>
      <c r="T84" s="5"/>
      <c r="U84" s="8">
        <f t="shared" si="12"/>
        <v>8451600</v>
      </c>
      <c r="V84" s="8"/>
      <c r="X84" s="8"/>
    </row>
    <row r="85" spans="1:24" s="59" customFormat="1" ht="39">
      <c r="A85" s="51">
        <v>1115011</v>
      </c>
      <c r="B85" s="52" t="s">
        <v>94</v>
      </c>
      <c r="C85" s="52" t="s">
        <v>95</v>
      </c>
      <c r="D85" s="53" t="s">
        <v>232</v>
      </c>
      <c r="E85" s="54">
        <f t="shared" si="13"/>
        <v>6534600</v>
      </c>
      <c r="F85" s="54">
        <v>6534600</v>
      </c>
      <c r="G85" s="54"/>
      <c r="H85" s="54"/>
      <c r="I85" s="60"/>
      <c r="J85" s="54">
        <f t="shared" si="14"/>
        <v>0</v>
      </c>
      <c r="K85" s="54"/>
      <c r="L85" s="54"/>
      <c r="M85" s="54"/>
      <c r="N85" s="54"/>
      <c r="O85" s="54"/>
      <c r="P85" s="14">
        <f t="shared" si="11"/>
        <v>6534600</v>
      </c>
      <c r="Q85" s="57"/>
      <c r="R85" s="48">
        <f t="shared" si="15"/>
        <v>6534600</v>
      </c>
      <c r="S85" s="57"/>
      <c r="T85" s="67"/>
      <c r="U85" s="8">
        <f t="shared" si="12"/>
        <v>6534600</v>
      </c>
      <c r="V85" s="58"/>
      <c r="X85" s="58"/>
    </row>
    <row r="86" spans="1:24" s="59" customFormat="1" ht="39">
      <c r="A86" s="51">
        <v>1115012</v>
      </c>
      <c r="B86" s="52" t="s">
        <v>186</v>
      </c>
      <c r="C86" s="52" t="s">
        <v>95</v>
      </c>
      <c r="D86" s="53" t="s">
        <v>33</v>
      </c>
      <c r="E86" s="54">
        <f t="shared" si="13"/>
        <v>1917000</v>
      </c>
      <c r="F86" s="54">
        <v>1917000</v>
      </c>
      <c r="G86" s="54"/>
      <c r="H86" s="54"/>
      <c r="I86" s="60"/>
      <c r="J86" s="54">
        <f t="shared" si="14"/>
        <v>0</v>
      </c>
      <c r="K86" s="54"/>
      <c r="L86" s="54"/>
      <c r="M86" s="54"/>
      <c r="N86" s="54"/>
      <c r="O86" s="54"/>
      <c r="P86" s="14">
        <f t="shared" si="11"/>
        <v>1917000</v>
      </c>
      <c r="Q86" s="57"/>
      <c r="R86" s="48">
        <f t="shared" si="15"/>
        <v>1917000</v>
      </c>
      <c r="S86" s="57"/>
      <c r="T86" s="67"/>
      <c r="U86" s="8">
        <f t="shared" si="12"/>
        <v>1917000</v>
      </c>
      <c r="V86" s="58"/>
      <c r="X86" s="58"/>
    </row>
    <row r="87" spans="1:24" s="64" customFormat="1" ht="26.25">
      <c r="A87" s="3">
        <v>1115020</v>
      </c>
      <c r="B87" s="7" t="s">
        <v>210</v>
      </c>
      <c r="C87" s="7"/>
      <c r="D87" s="33" t="s">
        <v>220</v>
      </c>
      <c r="E87" s="24">
        <f>F87+I87</f>
        <v>2064100</v>
      </c>
      <c r="F87" s="24">
        <f>F88+F89</f>
        <v>2064100</v>
      </c>
      <c r="G87" s="24">
        <f>G88+G89</f>
        <v>1436200</v>
      </c>
      <c r="H87" s="24">
        <f>H88+H89</f>
        <v>14800</v>
      </c>
      <c r="I87" s="24">
        <f>I88+I89</f>
        <v>0</v>
      </c>
      <c r="J87" s="24">
        <f>K87+N87</f>
        <v>24400</v>
      </c>
      <c r="K87" s="24">
        <f>K88+K89</f>
        <v>0</v>
      </c>
      <c r="L87" s="24">
        <f>L88+L89</f>
        <v>0</v>
      </c>
      <c r="M87" s="24">
        <f>M88+M89</f>
        <v>0</v>
      </c>
      <c r="N87" s="24">
        <f>N88+N89</f>
        <v>24400</v>
      </c>
      <c r="O87" s="24">
        <f>O88+O89</f>
        <v>24400</v>
      </c>
      <c r="P87" s="14">
        <f t="shared" si="11"/>
        <v>2088500</v>
      </c>
      <c r="Q87" s="48"/>
      <c r="R87" s="48">
        <f t="shared" si="15"/>
        <v>2088500</v>
      </c>
      <c r="S87" s="48"/>
      <c r="T87" s="5"/>
      <c r="U87" s="8">
        <f t="shared" si="12"/>
        <v>2088500</v>
      </c>
      <c r="V87" s="8"/>
      <c r="W87" s="6"/>
      <c r="X87" s="8"/>
    </row>
    <row r="88" spans="1:24" s="65" customFormat="1" ht="26.25">
      <c r="A88" s="51">
        <v>1115021</v>
      </c>
      <c r="B88" s="52" t="s">
        <v>187</v>
      </c>
      <c r="C88" s="52" t="s">
        <v>95</v>
      </c>
      <c r="D88" s="53" t="s">
        <v>241</v>
      </c>
      <c r="E88" s="54">
        <f>F88+I88</f>
        <v>1885900</v>
      </c>
      <c r="F88" s="54">
        <f>1854600+31300</f>
        <v>1885900</v>
      </c>
      <c r="G88" s="54">
        <f>1404900+31300</f>
        <v>1436200</v>
      </c>
      <c r="H88" s="54">
        <v>14800</v>
      </c>
      <c r="I88" s="60"/>
      <c r="J88" s="54">
        <f>K88+N88</f>
        <v>24400</v>
      </c>
      <c r="K88" s="54"/>
      <c r="L88" s="54"/>
      <c r="M88" s="54"/>
      <c r="N88" s="54">
        <f>O88</f>
        <v>24400</v>
      </c>
      <c r="O88" s="54">
        <v>24400</v>
      </c>
      <c r="P88" s="14">
        <f t="shared" si="11"/>
        <v>1910300</v>
      </c>
      <c r="Q88" s="57"/>
      <c r="R88" s="48">
        <f t="shared" si="15"/>
        <v>1910300</v>
      </c>
      <c r="S88" s="57"/>
      <c r="T88" s="67"/>
      <c r="U88" s="8">
        <f t="shared" si="12"/>
        <v>1910300</v>
      </c>
      <c r="V88" s="58"/>
      <c r="W88" s="59"/>
      <c r="X88" s="58"/>
    </row>
    <row r="89" spans="1:24" s="65" customFormat="1" ht="39">
      <c r="A89" s="51">
        <v>1115022</v>
      </c>
      <c r="B89" s="52" t="s">
        <v>96</v>
      </c>
      <c r="C89" s="52" t="s">
        <v>95</v>
      </c>
      <c r="D89" s="53" t="s">
        <v>35</v>
      </c>
      <c r="E89" s="54">
        <f>F89+I89</f>
        <v>178200</v>
      </c>
      <c r="F89" s="54">
        <v>178200</v>
      </c>
      <c r="G89" s="54"/>
      <c r="H89" s="54"/>
      <c r="I89" s="60"/>
      <c r="J89" s="54">
        <f>K89+N89</f>
        <v>0</v>
      </c>
      <c r="K89" s="54"/>
      <c r="L89" s="54"/>
      <c r="M89" s="54"/>
      <c r="N89" s="54"/>
      <c r="O89" s="54"/>
      <c r="P89" s="14">
        <f t="shared" si="11"/>
        <v>178200</v>
      </c>
      <c r="Q89" s="57"/>
      <c r="R89" s="48">
        <f t="shared" si="15"/>
        <v>178200</v>
      </c>
      <c r="S89" s="57"/>
      <c r="T89" s="67"/>
      <c r="U89" s="8">
        <f t="shared" si="12"/>
        <v>178200</v>
      </c>
      <c r="V89" s="58"/>
      <c r="W89" s="59"/>
      <c r="X89" s="58"/>
    </row>
    <row r="90" spans="1:24" s="65" customFormat="1" ht="26.25">
      <c r="A90" s="3">
        <v>1115030</v>
      </c>
      <c r="B90" s="7" t="s">
        <v>236</v>
      </c>
      <c r="C90" s="7"/>
      <c r="D90" s="33" t="s">
        <v>235</v>
      </c>
      <c r="E90" s="24">
        <f t="shared" si="13"/>
        <v>9088503</v>
      </c>
      <c r="F90" s="24">
        <f>F91+F92+F93</f>
        <v>9088503</v>
      </c>
      <c r="G90" s="24">
        <f>G91+G92+G93</f>
        <v>4726545</v>
      </c>
      <c r="H90" s="24">
        <f>H91+H92+H93</f>
        <v>101400</v>
      </c>
      <c r="I90" s="24">
        <f>I91+I92+I93</f>
        <v>0</v>
      </c>
      <c r="J90" s="24">
        <f t="shared" si="14"/>
        <v>982878</v>
      </c>
      <c r="K90" s="24">
        <f>K91+K92+K93</f>
        <v>0</v>
      </c>
      <c r="L90" s="24">
        <f>L91+L92+L93</f>
        <v>0</v>
      </c>
      <c r="M90" s="24">
        <f>M91+M92+M93</f>
        <v>0</v>
      </c>
      <c r="N90" s="24">
        <f>N91+N92+N93</f>
        <v>982878</v>
      </c>
      <c r="O90" s="24">
        <f>O91+O92+O93</f>
        <v>982878</v>
      </c>
      <c r="P90" s="14">
        <f t="shared" si="11"/>
        <v>10071381</v>
      </c>
      <c r="Q90" s="57"/>
      <c r="R90" s="48">
        <f t="shared" si="15"/>
        <v>10071381</v>
      </c>
      <c r="S90" s="57"/>
      <c r="T90" s="67"/>
      <c r="U90" s="8">
        <f t="shared" si="12"/>
        <v>10071381</v>
      </c>
      <c r="V90" s="58"/>
      <c r="W90" s="59"/>
      <c r="X90" s="58"/>
    </row>
    <row r="91" spans="1:24" s="64" customFormat="1" ht="39">
      <c r="A91" s="51">
        <v>1115031</v>
      </c>
      <c r="B91" s="52" t="s">
        <v>234</v>
      </c>
      <c r="C91" s="52" t="s">
        <v>95</v>
      </c>
      <c r="D91" s="53" t="s">
        <v>233</v>
      </c>
      <c r="E91" s="54">
        <f>F91+I91</f>
        <v>3471594</v>
      </c>
      <c r="F91" s="54">
        <f>3389200+82394</f>
        <v>3471594</v>
      </c>
      <c r="G91" s="54">
        <f>2177200+67356</f>
        <v>2244556</v>
      </c>
      <c r="H91" s="54">
        <v>35800</v>
      </c>
      <c r="I91" s="60"/>
      <c r="J91" s="54">
        <f>K91+N91</f>
        <v>546328</v>
      </c>
      <c r="K91" s="54"/>
      <c r="L91" s="54"/>
      <c r="M91" s="54"/>
      <c r="N91" s="54">
        <f>O91</f>
        <v>546328</v>
      </c>
      <c r="O91" s="54">
        <v>546328</v>
      </c>
      <c r="P91" s="14">
        <f t="shared" si="11"/>
        <v>4017922</v>
      </c>
      <c r="Q91" s="48"/>
      <c r="R91" s="48">
        <f t="shared" si="15"/>
        <v>4017922</v>
      </c>
      <c r="S91" s="48"/>
      <c r="T91" s="5"/>
      <c r="U91" s="8">
        <f t="shared" si="12"/>
        <v>4017922</v>
      </c>
      <c r="V91" s="8"/>
      <c r="W91" s="6"/>
      <c r="X91" s="8"/>
    </row>
    <row r="92" spans="1:24" s="64" customFormat="1" ht="39">
      <c r="A92" s="51">
        <v>1115032</v>
      </c>
      <c r="B92" s="52" t="s">
        <v>238</v>
      </c>
      <c r="C92" s="52" t="s">
        <v>95</v>
      </c>
      <c r="D92" s="53" t="s">
        <v>237</v>
      </c>
      <c r="E92" s="54">
        <f>F92+I92</f>
        <v>1752820</v>
      </c>
      <c r="F92" s="54">
        <f>1676600+76220</f>
        <v>1752820</v>
      </c>
      <c r="G92" s="54"/>
      <c r="H92" s="54"/>
      <c r="I92" s="60"/>
      <c r="J92" s="54">
        <f>K92+N92</f>
        <v>0</v>
      </c>
      <c r="K92" s="54"/>
      <c r="L92" s="54"/>
      <c r="M92" s="54"/>
      <c r="N92" s="54">
        <f>O92</f>
        <v>0</v>
      </c>
      <c r="O92" s="54"/>
      <c r="P92" s="14">
        <f t="shared" si="11"/>
        <v>1752820</v>
      </c>
      <c r="Q92" s="48"/>
      <c r="R92" s="48">
        <f t="shared" si="15"/>
        <v>1752820</v>
      </c>
      <c r="S92" s="48"/>
      <c r="T92" s="5"/>
      <c r="U92" s="8">
        <f t="shared" si="12"/>
        <v>1752820</v>
      </c>
      <c r="V92" s="8"/>
      <c r="W92" s="6"/>
      <c r="X92" s="8"/>
    </row>
    <row r="93" spans="1:24" s="65" customFormat="1" ht="39">
      <c r="A93" s="51">
        <v>1115033</v>
      </c>
      <c r="B93" s="52" t="s">
        <v>190</v>
      </c>
      <c r="C93" s="52" t="s">
        <v>95</v>
      </c>
      <c r="D93" s="53" t="s">
        <v>36</v>
      </c>
      <c r="E93" s="54">
        <f>F93+I93</f>
        <v>3864089</v>
      </c>
      <c r="F93" s="54">
        <f>3771800+92289</f>
        <v>3864089</v>
      </c>
      <c r="G93" s="54">
        <f>2389700+92289</f>
        <v>2481989</v>
      </c>
      <c r="H93" s="54">
        <v>65600</v>
      </c>
      <c r="I93" s="60"/>
      <c r="J93" s="54">
        <f>K93+N93</f>
        <v>436550</v>
      </c>
      <c r="K93" s="54"/>
      <c r="L93" s="54"/>
      <c r="M93" s="54"/>
      <c r="N93" s="54">
        <f>O93</f>
        <v>436550</v>
      </c>
      <c r="O93" s="54">
        <v>436550</v>
      </c>
      <c r="P93" s="14">
        <f t="shared" si="11"/>
        <v>4300639</v>
      </c>
      <c r="Q93" s="57"/>
      <c r="R93" s="48">
        <f t="shared" si="15"/>
        <v>4300639</v>
      </c>
      <c r="S93" s="57"/>
      <c r="T93" s="67"/>
      <c r="U93" s="8">
        <f t="shared" si="12"/>
        <v>4300639</v>
      </c>
      <c r="V93" s="58"/>
      <c r="W93" s="59"/>
      <c r="X93" s="58"/>
    </row>
    <row r="94" spans="1:24" s="64" customFormat="1" ht="26.25">
      <c r="A94" s="3">
        <v>1115050</v>
      </c>
      <c r="B94" s="7" t="s">
        <v>249</v>
      </c>
      <c r="C94" s="7"/>
      <c r="D94" s="33" t="s">
        <v>250</v>
      </c>
      <c r="E94" s="24">
        <f>F94+I94</f>
        <v>762100</v>
      </c>
      <c r="F94" s="24">
        <f>F95</f>
        <v>762100</v>
      </c>
      <c r="G94" s="24">
        <f>G95</f>
        <v>0</v>
      </c>
      <c r="H94" s="24">
        <f>H95</f>
        <v>0</v>
      </c>
      <c r="I94" s="24">
        <f>I95</f>
        <v>0</v>
      </c>
      <c r="J94" s="24">
        <f>K94+N94</f>
        <v>0</v>
      </c>
      <c r="K94" s="24">
        <f>K95</f>
        <v>0</v>
      </c>
      <c r="L94" s="24">
        <f>L95</f>
        <v>0</v>
      </c>
      <c r="M94" s="24">
        <f>M95</f>
        <v>0</v>
      </c>
      <c r="N94" s="24">
        <f>N95</f>
        <v>0</v>
      </c>
      <c r="O94" s="24">
        <f>O95</f>
        <v>0</v>
      </c>
      <c r="P94" s="14">
        <f t="shared" si="11"/>
        <v>762100</v>
      </c>
      <c r="Q94" s="48"/>
      <c r="R94" s="48">
        <f t="shared" si="15"/>
        <v>762100</v>
      </c>
      <c r="S94" s="48"/>
      <c r="T94" s="5"/>
      <c r="U94" s="8">
        <f t="shared" si="12"/>
        <v>762100</v>
      </c>
      <c r="V94" s="8"/>
      <c r="W94" s="6"/>
      <c r="X94" s="8"/>
    </row>
    <row r="95" spans="1:24" s="65" customFormat="1" ht="66">
      <c r="A95" s="51">
        <v>1115053</v>
      </c>
      <c r="B95" s="52" t="s">
        <v>239</v>
      </c>
      <c r="C95" s="52" t="s">
        <v>95</v>
      </c>
      <c r="D95" s="53" t="s">
        <v>240</v>
      </c>
      <c r="E95" s="54">
        <f t="shared" si="13"/>
        <v>762100</v>
      </c>
      <c r="F95" s="54">
        <v>762100</v>
      </c>
      <c r="G95" s="54"/>
      <c r="H95" s="54"/>
      <c r="I95" s="60"/>
      <c r="J95" s="54">
        <f t="shared" si="14"/>
        <v>0</v>
      </c>
      <c r="K95" s="54"/>
      <c r="L95" s="54"/>
      <c r="M95" s="54"/>
      <c r="N95" s="54"/>
      <c r="O95" s="54"/>
      <c r="P95" s="14">
        <f t="shared" si="11"/>
        <v>762100</v>
      </c>
      <c r="Q95" s="57"/>
      <c r="R95" s="48">
        <f t="shared" si="15"/>
        <v>762100</v>
      </c>
      <c r="S95" s="57"/>
      <c r="T95" s="67"/>
      <c r="U95" s="8">
        <f t="shared" si="12"/>
        <v>762100</v>
      </c>
      <c r="V95" s="58"/>
      <c r="W95" s="59"/>
      <c r="X95" s="58"/>
    </row>
    <row r="96" spans="1:24" s="64" customFormat="1" ht="26.25">
      <c r="A96" s="3">
        <v>1115060</v>
      </c>
      <c r="B96" s="7" t="s">
        <v>188</v>
      </c>
      <c r="C96" s="7"/>
      <c r="D96" s="33" t="s">
        <v>242</v>
      </c>
      <c r="E96" s="24">
        <f t="shared" si="13"/>
        <v>2053700</v>
      </c>
      <c r="F96" s="24">
        <f>F97+F98</f>
        <v>2053700</v>
      </c>
      <c r="G96" s="24">
        <f aca="true" t="shared" si="16" ref="G96:O96">G97+G98</f>
        <v>425700</v>
      </c>
      <c r="H96" s="24">
        <f t="shared" si="16"/>
        <v>16800</v>
      </c>
      <c r="I96" s="24">
        <f t="shared" si="16"/>
        <v>0</v>
      </c>
      <c r="J96" s="24">
        <f t="shared" si="14"/>
        <v>0</v>
      </c>
      <c r="K96" s="24">
        <f t="shared" si="16"/>
        <v>0</v>
      </c>
      <c r="L96" s="24">
        <f t="shared" si="16"/>
        <v>0</v>
      </c>
      <c r="M96" s="24">
        <f t="shared" si="16"/>
        <v>0</v>
      </c>
      <c r="N96" s="24">
        <f t="shared" si="16"/>
        <v>0</v>
      </c>
      <c r="O96" s="24">
        <f t="shared" si="16"/>
        <v>0</v>
      </c>
      <c r="P96" s="14">
        <f t="shared" si="11"/>
        <v>2053700</v>
      </c>
      <c r="Q96" s="48"/>
      <c r="R96" s="48">
        <f t="shared" si="15"/>
        <v>2053700</v>
      </c>
      <c r="S96" s="48"/>
      <c r="T96" s="5"/>
      <c r="U96" s="8">
        <f t="shared" si="12"/>
        <v>2053700</v>
      </c>
      <c r="V96" s="8"/>
      <c r="W96" s="6"/>
      <c r="X96" s="8"/>
    </row>
    <row r="97" spans="1:24" s="65" customFormat="1" ht="66">
      <c r="A97" s="51">
        <v>1115061</v>
      </c>
      <c r="B97" s="52" t="s">
        <v>244</v>
      </c>
      <c r="C97" s="52" t="s">
        <v>95</v>
      </c>
      <c r="D97" s="53" t="s">
        <v>243</v>
      </c>
      <c r="E97" s="54">
        <f>F97+I97</f>
        <v>739700</v>
      </c>
      <c r="F97" s="54">
        <v>739700</v>
      </c>
      <c r="G97" s="54">
        <v>425700</v>
      </c>
      <c r="H97" s="54">
        <v>16800</v>
      </c>
      <c r="I97" s="60"/>
      <c r="J97" s="54">
        <f>K97+N97</f>
        <v>0</v>
      </c>
      <c r="K97" s="54"/>
      <c r="L97" s="54"/>
      <c r="M97" s="54"/>
      <c r="N97" s="54"/>
      <c r="O97" s="54"/>
      <c r="P97" s="14">
        <f t="shared" si="11"/>
        <v>739700</v>
      </c>
      <c r="Q97" s="57"/>
      <c r="R97" s="48">
        <f t="shared" si="15"/>
        <v>739700</v>
      </c>
      <c r="S97" s="57"/>
      <c r="T97" s="67"/>
      <c r="U97" s="8">
        <f t="shared" si="12"/>
        <v>739700</v>
      </c>
      <c r="V97" s="58"/>
      <c r="W97" s="59"/>
      <c r="X97" s="58"/>
    </row>
    <row r="98" spans="1:24" s="66" customFormat="1" ht="52.5">
      <c r="A98" s="51">
        <v>1115062</v>
      </c>
      <c r="B98" s="52" t="s">
        <v>246</v>
      </c>
      <c r="C98" s="52" t="s">
        <v>95</v>
      </c>
      <c r="D98" s="53" t="s">
        <v>245</v>
      </c>
      <c r="E98" s="54">
        <f>F98+I98</f>
        <v>1314000</v>
      </c>
      <c r="F98" s="54">
        <f>1037000+277000</f>
        <v>1314000</v>
      </c>
      <c r="G98" s="54"/>
      <c r="H98" s="54"/>
      <c r="I98" s="60"/>
      <c r="J98" s="54">
        <f>K98+N98</f>
        <v>0</v>
      </c>
      <c r="K98" s="54"/>
      <c r="L98" s="54"/>
      <c r="M98" s="54"/>
      <c r="N98" s="54"/>
      <c r="O98" s="54"/>
      <c r="P98" s="14">
        <f t="shared" si="11"/>
        <v>1314000</v>
      </c>
      <c r="Q98" s="57"/>
      <c r="R98" s="48">
        <f t="shared" si="15"/>
        <v>1314000</v>
      </c>
      <c r="S98" s="57"/>
      <c r="T98" s="67"/>
      <c r="U98" s="8">
        <f t="shared" si="12"/>
        <v>1314000</v>
      </c>
      <c r="V98" s="58"/>
      <c r="X98" s="58"/>
    </row>
    <row r="99" spans="1:24" s="9" customFormat="1" ht="26.25">
      <c r="A99" s="2">
        <v>2000000</v>
      </c>
      <c r="B99" s="4"/>
      <c r="C99" s="4"/>
      <c r="D99" s="35" t="s">
        <v>112</v>
      </c>
      <c r="E99" s="24">
        <f t="shared" si="13"/>
        <v>6092800</v>
      </c>
      <c r="F99" s="36">
        <f>F100</f>
        <v>6092800</v>
      </c>
      <c r="G99" s="36">
        <f>G100</f>
        <v>2789900</v>
      </c>
      <c r="H99" s="36">
        <f>H100</f>
        <v>569300</v>
      </c>
      <c r="I99" s="36">
        <f>I100</f>
        <v>0</v>
      </c>
      <c r="J99" s="24">
        <f t="shared" si="14"/>
        <v>40000</v>
      </c>
      <c r="K99" s="36">
        <f>K100</f>
        <v>40000</v>
      </c>
      <c r="L99" s="36">
        <f>L100</f>
        <v>0</v>
      </c>
      <c r="M99" s="36">
        <f>M100</f>
        <v>0</v>
      </c>
      <c r="N99" s="36">
        <f>N100</f>
        <v>0</v>
      </c>
      <c r="O99" s="36">
        <f>O100</f>
        <v>0</v>
      </c>
      <c r="P99" s="14">
        <f t="shared" si="11"/>
        <v>6132800</v>
      </c>
      <c r="Q99" s="48">
        <v>6132800</v>
      </c>
      <c r="R99" s="48">
        <f t="shared" si="15"/>
        <v>0</v>
      </c>
      <c r="S99" s="48"/>
      <c r="T99" s="5">
        <v>6132800</v>
      </c>
      <c r="U99" s="8">
        <f t="shared" si="12"/>
        <v>0</v>
      </c>
      <c r="V99" s="8"/>
      <c r="X99" s="8"/>
    </row>
    <row r="100" spans="1:24" s="6" customFormat="1" ht="26.25">
      <c r="A100" s="2">
        <v>2010000</v>
      </c>
      <c r="B100" s="4"/>
      <c r="C100" s="4"/>
      <c r="D100" s="35" t="s">
        <v>109</v>
      </c>
      <c r="E100" s="24">
        <f t="shared" si="13"/>
        <v>6092800</v>
      </c>
      <c r="F100" s="36">
        <f>SUM(F102:F103)</f>
        <v>6092800</v>
      </c>
      <c r="G100" s="36">
        <f>SUM(G102:G103)</f>
        <v>2789900</v>
      </c>
      <c r="H100" s="36">
        <f>SUM(H102:H103)</f>
        <v>569300</v>
      </c>
      <c r="I100" s="36">
        <f>SUM(I102:I103)</f>
        <v>0</v>
      </c>
      <c r="J100" s="24">
        <f t="shared" si="14"/>
        <v>40000</v>
      </c>
      <c r="K100" s="36">
        <f>SUM(K102:K103)</f>
        <v>40000</v>
      </c>
      <c r="L100" s="36">
        <f>SUM(L102:L103)</f>
        <v>0</v>
      </c>
      <c r="M100" s="36">
        <f>SUM(M102:M103)</f>
        <v>0</v>
      </c>
      <c r="N100" s="36">
        <f>SUM(N102:N103)</f>
        <v>0</v>
      </c>
      <c r="O100" s="36">
        <f>SUM(O102:O103)</f>
        <v>0</v>
      </c>
      <c r="P100" s="14">
        <f t="shared" si="11"/>
        <v>6132800</v>
      </c>
      <c r="Q100" s="61"/>
      <c r="R100" s="48">
        <f t="shared" si="15"/>
        <v>6132800</v>
      </c>
      <c r="S100" s="61"/>
      <c r="T100" s="5"/>
      <c r="U100" s="8">
        <f t="shared" si="12"/>
        <v>6132800</v>
      </c>
      <c r="V100" s="5"/>
      <c r="X100" s="5"/>
    </row>
    <row r="101" spans="1:24" s="59" customFormat="1" ht="26.25">
      <c r="A101" s="3">
        <v>2013110</v>
      </c>
      <c r="B101" s="7" t="s">
        <v>216</v>
      </c>
      <c r="C101" s="7"/>
      <c r="D101" s="33" t="s">
        <v>217</v>
      </c>
      <c r="E101" s="24">
        <f t="shared" si="13"/>
        <v>6092800</v>
      </c>
      <c r="F101" s="24">
        <f>F102+F103</f>
        <v>6092800</v>
      </c>
      <c r="G101" s="24">
        <f>G102+G103</f>
        <v>2789900</v>
      </c>
      <c r="H101" s="24">
        <f>H102+H103</f>
        <v>569300</v>
      </c>
      <c r="I101" s="24">
        <f>I102+I103</f>
        <v>0</v>
      </c>
      <c r="J101" s="24">
        <f t="shared" si="14"/>
        <v>40000</v>
      </c>
      <c r="K101" s="24">
        <f>K102+K103</f>
        <v>40000</v>
      </c>
      <c r="L101" s="24">
        <f>L102+L103</f>
        <v>0</v>
      </c>
      <c r="M101" s="24">
        <f>M102+M103</f>
        <v>0</v>
      </c>
      <c r="N101" s="24">
        <f>N102+N103</f>
        <v>0</v>
      </c>
      <c r="O101" s="24">
        <f>O102+O103</f>
        <v>0</v>
      </c>
      <c r="P101" s="14">
        <f t="shared" si="11"/>
        <v>6132800</v>
      </c>
      <c r="Q101" s="57"/>
      <c r="R101" s="48">
        <f t="shared" si="15"/>
        <v>6132800</v>
      </c>
      <c r="S101" s="57"/>
      <c r="T101" s="67"/>
      <c r="U101" s="8">
        <f t="shared" si="12"/>
        <v>6132800</v>
      </c>
      <c r="V101" s="58"/>
      <c r="X101" s="58"/>
    </row>
    <row r="102" spans="1:24" s="59" customFormat="1" ht="39">
      <c r="A102" s="51">
        <v>2013111</v>
      </c>
      <c r="B102" s="52" t="s">
        <v>180</v>
      </c>
      <c r="C102" s="52" t="s">
        <v>67</v>
      </c>
      <c r="D102" s="53" t="s">
        <v>50</v>
      </c>
      <c r="E102" s="54">
        <f t="shared" si="13"/>
        <v>5557300</v>
      </c>
      <c r="F102" s="55">
        <v>5557300</v>
      </c>
      <c r="G102" s="55">
        <v>2789900</v>
      </c>
      <c r="H102" s="55">
        <v>569300</v>
      </c>
      <c r="I102" s="56"/>
      <c r="J102" s="54">
        <f t="shared" si="14"/>
        <v>40000</v>
      </c>
      <c r="K102" s="55">
        <v>40000</v>
      </c>
      <c r="L102" s="55"/>
      <c r="M102" s="55"/>
      <c r="N102" s="55"/>
      <c r="O102" s="54"/>
      <c r="P102" s="14">
        <f t="shared" si="11"/>
        <v>5597300</v>
      </c>
      <c r="Q102" s="57"/>
      <c r="R102" s="48">
        <f t="shared" si="15"/>
        <v>5597300</v>
      </c>
      <c r="S102" s="57"/>
      <c r="T102" s="67"/>
      <c r="U102" s="8">
        <f t="shared" si="12"/>
        <v>5597300</v>
      </c>
      <c r="V102" s="58"/>
      <c r="X102" s="58"/>
    </row>
    <row r="103" spans="1:24" s="9" customFormat="1" ht="26.25">
      <c r="A103" s="51">
        <v>2013112</v>
      </c>
      <c r="B103" s="52" t="s">
        <v>185</v>
      </c>
      <c r="C103" s="52" t="s">
        <v>67</v>
      </c>
      <c r="D103" s="53" t="s">
        <v>41</v>
      </c>
      <c r="E103" s="54">
        <f t="shared" si="13"/>
        <v>535500</v>
      </c>
      <c r="F103" s="55">
        <v>535500</v>
      </c>
      <c r="G103" s="55"/>
      <c r="H103" s="55"/>
      <c r="I103" s="56"/>
      <c r="J103" s="54">
        <f t="shared" si="14"/>
        <v>0</v>
      </c>
      <c r="K103" s="55"/>
      <c r="L103" s="55"/>
      <c r="M103" s="55"/>
      <c r="N103" s="55"/>
      <c r="O103" s="62"/>
      <c r="P103" s="14">
        <f t="shared" si="11"/>
        <v>535500</v>
      </c>
      <c r="Q103" s="48"/>
      <c r="R103" s="48">
        <f t="shared" si="15"/>
        <v>535500</v>
      </c>
      <c r="S103" s="48"/>
      <c r="T103" s="5"/>
      <c r="U103" s="8">
        <f t="shared" si="12"/>
        <v>535500</v>
      </c>
      <c r="V103" s="8"/>
      <c r="X103" s="8"/>
    </row>
    <row r="104" spans="1:24" s="9" customFormat="1" ht="39">
      <c r="A104" s="4" t="s">
        <v>39</v>
      </c>
      <c r="B104" s="22"/>
      <c r="C104" s="22"/>
      <c r="D104" s="10" t="s">
        <v>160</v>
      </c>
      <c r="E104" s="36">
        <f t="shared" si="13"/>
        <v>107915454</v>
      </c>
      <c r="F104" s="36">
        <f>F105</f>
        <v>107915454</v>
      </c>
      <c r="G104" s="36">
        <f>G105</f>
        <v>21070500</v>
      </c>
      <c r="H104" s="36">
        <f>H105</f>
        <v>2021100</v>
      </c>
      <c r="I104" s="36">
        <f>I105</f>
        <v>0</v>
      </c>
      <c r="J104" s="36">
        <f t="shared" si="14"/>
        <v>11203759</v>
      </c>
      <c r="K104" s="36">
        <f>K105</f>
        <v>2126480</v>
      </c>
      <c r="L104" s="36">
        <f>L105</f>
        <v>450000</v>
      </c>
      <c r="M104" s="36">
        <f>M105</f>
        <v>73800</v>
      </c>
      <c r="N104" s="36">
        <f>N105</f>
        <v>9077279</v>
      </c>
      <c r="O104" s="36">
        <f>O105</f>
        <v>8980179</v>
      </c>
      <c r="P104" s="14">
        <f t="shared" si="11"/>
        <v>119119213</v>
      </c>
      <c r="Q104" s="48">
        <v>108766180</v>
      </c>
      <c r="R104" s="48">
        <f t="shared" si="15"/>
        <v>10353033</v>
      </c>
      <c r="S104" s="48"/>
      <c r="T104" s="5">
        <v>117238468</v>
      </c>
      <c r="U104" s="8">
        <f t="shared" si="12"/>
        <v>1880745</v>
      </c>
      <c r="V104" s="8"/>
      <c r="X104" s="8"/>
    </row>
    <row r="105" spans="1:24" s="6" customFormat="1" ht="39">
      <c r="A105" s="4" t="s">
        <v>40</v>
      </c>
      <c r="B105" s="22"/>
      <c r="C105" s="22"/>
      <c r="D105" s="10" t="s">
        <v>161</v>
      </c>
      <c r="E105" s="36">
        <f t="shared" si="13"/>
        <v>107915454</v>
      </c>
      <c r="F105" s="36">
        <f>SUM(F106:F113)</f>
        <v>107915454</v>
      </c>
      <c r="G105" s="36">
        <f>SUM(G106:G113)</f>
        <v>21070500</v>
      </c>
      <c r="H105" s="36">
        <f>SUM(H106:H113)</f>
        <v>2021100</v>
      </c>
      <c r="I105" s="36">
        <f>SUM(I106:I113)</f>
        <v>0</v>
      </c>
      <c r="J105" s="36">
        <f t="shared" si="14"/>
        <v>11203759</v>
      </c>
      <c r="K105" s="36">
        <f>SUM(K106:K113)</f>
        <v>2126480</v>
      </c>
      <c r="L105" s="36">
        <f>SUM(L106:L113)</f>
        <v>450000</v>
      </c>
      <c r="M105" s="36">
        <f>SUM(M106:M113)</f>
        <v>73800</v>
      </c>
      <c r="N105" s="36">
        <f>SUM(N106:N113)</f>
        <v>9077279</v>
      </c>
      <c r="O105" s="36">
        <f>SUM(O106:O113)</f>
        <v>8980179</v>
      </c>
      <c r="P105" s="14">
        <f t="shared" si="11"/>
        <v>119119213</v>
      </c>
      <c r="Q105" s="48"/>
      <c r="R105" s="48">
        <f t="shared" si="15"/>
        <v>119119213</v>
      </c>
      <c r="S105" s="48"/>
      <c r="T105" s="5"/>
      <c r="U105" s="8">
        <f t="shared" si="12"/>
        <v>119119213</v>
      </c>
      <c r="V105" s="8"/>
      <c r="X105" s="8"/>
    </row>
    <row r="106" spans="1:24" s="6" customFormat="1" ht="26.25">
      <c r="A106" s="3">
        <v>2411120</v>
      </c>
      <c r="B106" s="7" t="s">
        <v>127</v>
      </c>
      <c r="C106" s="7" t="s">
        <v>128</v>
      </c>
      <c r="D106" s="33" t="s">
        <v>24</v>
      </c>
      <c r="E106" s="24">
        <f t="shared" si="13"/>
        <v>35267940</v>
      </c>
      <c r="F106" s="40">
        <f>34132300+1099940+35700</f>
        <v>35267940</v>
      </c>
      <c r="G106" s="40"/>
      <c r="H106" s="40"/>
      <c r="I106" s="16"/>
      <c r="J106" s="24">
        <f t="shared" si="14"/>
        <v>1188280</v>
      </c>
      <c r="K106" s="40">
        <v>1188280</v>
      </c>
      <c r="L106" s="40"/>
      <c r="M106" s="40"/>
      <c r="N106" s="40"/>
      <c r="O106" s="40"/>
      <c r="P106" s="14">
        <f t="shared" si="11"/>
        <v>36456220</v>
      </c>
      <c r="Q106" s="48"/>
      <c r="R106" s="48">
        <f t="shared" si="15"/>
        <v>36456220</v>
      </c>
      <c r="S106" s="48"/>
      <c r="T106" s="5"/>
      <c r="U106" s="8">
        <f t="shared" si="12"/>
        <v>36456220</v>
      </c>
      <c r="V106" s="8"/>
      <c r="X106" s="8"/>
    </row>
    <row r="107" spans="1:24" s="6" customFormat="1" ht="12.75">
      <c r="A107" s="3">
        <v>2414020</v>
      </c>
      <c r="B107" s="7" t="s">
        <v>162</v>
      </c>
      <c r="C107" s="7" t="s">
        <v>163</v>
      </c>
      <c r="D107" s="33" t="s">
        <v>25</v>
      </c>
      <c r="E107" s="24">
        <f t="shared" si="13"/>
        <v>20453914</v>
      </c>
      <c r="F107" s="40">
        <f>20418500+35414</f>
        <v>20453914</v>
      </c>
      <c r="G107" s="40"/>
      <c r="H107" s="24"/>
      <c r="I107" s="15"/>
      <c r="J107" s="24">
        <f t="shared" si="14"/>
        <v>1464586</v>
      </c>
      <c r="K107" s="40"/>
      <c r="L107" s="40"/>
      <c r="M107" s="24"/>
      <c r="N107" s="40">
        <f>O107</f>
        <v>1464586</v>
      </c>
      <c r="O107" s="40">
        <f>1500000-35414</f>
        <v>1464586</v>
      </c>
      <c r="P107" s="14">
        <f t="shared" si="11"/>
        <v>21918500</v>
      </c>
      <c r="Q107" s="48"/>
      <c r="R107" s="48">
        <f t="shared" si="15"/>
        <v>21918500</v>
      </c>
      <c r="S107" s="48"/>
      <c r="T107" s="5"/>
      <c r="U107" s="8">
        <f t="shared" si="12"/>
        <v>21918500</v>
      </c>
      <c r="V107" s="8"/>
      <c r="X107" s="8"/>
    </row>
    <row r="108" spans="1:24" s="6" customFormat="1" ht="39">
      <c r="A108" s="3">
        <v>2414030</v>
      </c>
      <c r="B108" s="7" t="s">
        <v>164</v>
      </c>
      <c r="C108" s="7" t="s">
        <v>165</v>
      </c>
      <c r="D108" s="33" t="s">
        <v>26</v>
      </c>
      <c r="E108" s="24">
        <f t="shared" si="13"/>
        <v>22164100</v>
      </c>
      <c r="F108" s="40">
        <v>22164100</v>
      </c>
      <c r="G108" s="40"/>
      <c r="H108" s="24"/>
      <c r="I108" s="15"/>
      <c r="J108" s="24">
        <f aca="true" t="shared" si="17" ref="J108:J158">K108+N108</f>
        <v>1852548</v>
      </c>
      <c r="K108" s="40"/>
      <c r="L108" s="40"/>
      <c r="M108" s="24"/>
      <c r="N108" s="40">
        <f>O108</f>
        <v>1852548</v>
      </c>
      <c r="O108" s="40">
        <f>1202548+650000</f>
        <v>1852548</v>
      </c>
      <c r="P108" s="14">
        <f t="shared" si="11"/>
        <v>24016648</v>
      </c>
      <c r="Q108" s="48"/>
      <c r="R108" s="48">
        <f t="shared" si="15"/>
        <v>24016648</v>
      </c>
      <c r="S108" s="48"/>
      <c r="T108" s="5"/>
      <c r="U108" s="8">
        <f t="shared" si="12"/>
        <v>24016648</v>
      </c>
      <c r="V108" s="8"/>
      <c r="X108" s="8"/>
    </row>
    <row r="109" spans="1:24" s="6" customFormat="1" ht="12.75">
      <c r="A109" s="3">
        <v>2414060</v>
      </c>
      <c r="B109" s="7" t="s">
        <v>153</v>
      </c>
      <c r="C109" s="7" t="s">
        <v>154</v>
      </c>
      <c r="D109" s="33" t="s">
        <v>20</v>
      </c>
      <c r="E109" s="24">
        <f t="shared" si="13"/>
        <v>15003600</v>
      </c>
      <c r="F109" s="40">
        <f>14808600+195000</f>
        <v>15003600</v>
      </c>
      <c r="G109" s="40">
        <v>11086300</v>
      </c>
      <c r="H109" s="40">
        <v>886100</v>
      </c>
      <c r="I109" s="16"/>
      <c r="J109" s="24">
        <f t="shared" si="17"/>
        <v>1062100</v>
      </c>
      <c r="K109" s="40">
        <v>158000</v>
      </c>
      <c r="L109" s="40">
        <v>61400</v>
      </c>
      <c r="M109" s="40">
        <v>15350</v>
      </c>
      <c r="N109" s="40">
        <f>52100+O109</f>
        <v>904100</v>
      </c>
      <c r="O109" s="24">
        <f>357000+300000+195000</f>
        <v>852000</v>
      </c>
      <c r="P109" s="14">
        <f t="shared" si="11"/>
        <v>16065700</v>
      </c>
      <c r="Q109" s="48"/>
      <c r="R109" s="48">
        <f t="shared" si="15"/>
        <v>16065700</v>
      </c>
      <c r="S109" s="48"/>
      <c r="T109" s="5"/>
      <c r="U109" s="8">
        <f t="shared" si="12"/>
        <v>16065700</v>
      </c>
      <c r="V109" s="8"/>
      <c r="X109" s="8"/>
    </row>
    <row r="110" spans="1:24" s="6" customFormat="1" ht="12.75">
      <c r="A110" s="3">
        <v>2414070</v>
      </c>
      <c r="B110" s="7" t="s">
        <v>166</v>
      </c>
      <c r="C110" s="7" t="s">
        <v>154</v>
      </c>
      <c r="D110" s="33" t="s">
        <v>27</v>
      </c>
      <c r="E110" s="24">
        <f t="shared" si="13"/>
        <v>7696500</v>
      </c>
      <c r="F110" s="40">
        <v>7696500</v>
      </c>
      <c r="G110" s="40">
        <v>5384800</v>
      </c>
      <c r="H110" s="40">
        <v>733900</v>
      </c>
      <c r="I110" s="16"/>
      <c r="J110" s="24">
        <f t="shared" si="17"/>
        <v>245774</v>
      </c>
      <c r="K110" s="40">
        <v>166500</v>
      </c>
      <c r="L110" s="40">
        <v>48400</v>
      </c>
      <c r="M110" s="40">
        <v>9000</v>
      </c>
      <c r="N110" s="40">
        <f>31000+O110</f>
        <v>79274</v>
      </c>
      <c r="O110" s="24">
        <f>41000+7274</f>
        <v>48274</v>
      </c>
      <c r="P110" s="14">
        <f t="shared" si="11"/>
        <v>7942274</v>
      </c>
      <c r="Q110" s="48"/>
      <c r="R110" s="48">
        <f t="shared" si="15"/>
        <v>7942274</v>
      </c>
      <c r="S110" s="48"/>
      <c r="T110" s="5"/>
      <c r="U110" s="8">
        <f t="shared" si="12"/>
        <v>7942274</v>
      </c>
      <c r="V110" s="8"/>
      <c r="X110" s="8"/>
    </row>
    <row r="111" spans="1:24" s="6" customFormat="1" ht="12.75">
      <c r="A111" s="3">
        <v>2414080</v>
      </c>
      <c r="B111" s="7" t="s">
        <v>167</v>
      </c>
      <c r="C111" s="7" t="s">
        <v>168</v>
      </c>
      <c r="D111" s="33" t="s">
        <v>28</v>
      </c>
      <c r="E111" s="24">
        <f aca="true" t="shared" si="18" ref="E111:E158">F111+I111</f>
        <v>2518400</v>
      </c>
      <c r="F111" s="40">
        <v>2518400</v>
      </c>
      <c r="G111" s="40">
        <v>1836900</v>
      </c>
      <c r="H111" s="40">
        <v>220900</v>
      </c>
      <c r="I111" s="16"/>
      <c r="J111" s="24">
        <f t="shared" si="17"/>
        <v>2595297</v>
      </c>
      <c r="K111" s="40">
        <v>513500</v>
      </c>
      <c r="L111" s="40">
        <v>305200</v>
      </c>
      <c r="M111" s="40">
        <v>36300</v>
      </c>
      <c r="N111" s="40">
        <f>14000+O111</f>
        <v>2081797</v>
      </c>
      <c r="O111" s="24">
        <f>30000+2000000+37797</f>
        <v>2067797</v>
      </c>
      <c r="P111" s="14">
        <f t="shared" si="11"/>
        <v>5113697</v>
      </c>
      <c r="Q111" s="48"/>
      <c r="R111" s="48">
        <f t="shared" si="15"/>
        <v>5113697</v>
      </c>
      <c r="S111" s="48"/>
      <c r="T111" s="5"/>
      <c r="U111" s="8">
        <f t="shared" si="12"/>
        <v>5113697</v>
      </c>
      <c r="V111" s="8"/>
      <c r="X111" s="8"/>
    </row>
    <row r="112" spans="1:24" s="6" customFormat="1" ht="12.75">
      <c r="A112" s="3">
        <v>2414200</v>
      </c>
      <c r="B112" s="7" t="s">
        <v>169</v>
      </c>
      <c r="C112" s="7" t="s">
        <v>170</v>
      </c>
      <c r="D112" s="33" t="s">
        <v>54</v>
      </c>
      <c r="E112" s="24">
        <f t="shared" si="18"/>
        <v>4811000</v>
      </c>
      <c r="F112" s="40">
        <f>4804200+6800</f>
        <v>4811000</v>
      </c>
      <c r="G112" s="40">
        <v>2762500</v>
      </c>
      <c r="H112" s="40">
        <v>180200</v>
      </c>
      <c r="I112" s="40"/>
      <c r="J112" s="24">
        <f t="shared" si="17"/>
        <v>310174</v>
      </c>
      <c r="K112" s="24">
        <v>100200</v>
      </c>
      <c r="L112" s="40">
        <v>35000</v>
      </c>
      <c r="M112" s="40">
        <v>13150</v>
      </c>
      <c r="N112" s="40">
        <f>O112</f>
        <v>209974</v>
      </c>
      <c r="O112" s="40">
        <v>209974</v>
      </c>
      <c r="P112" s="14">
        <f t="shared" si="11"/>
        <v>5121174</v>
      </c>
      <c r="Q112" s="48"/>
      <c r="R112" s="48">
        <f t="shared" si="15"/>
        <v>5121174</v>
      </c>
      <c r="S112" s="48"/>
      <c r="T112" s="5"/>
      <c r="U112" s="8">
        <f t="shared" si="12"/>
        <v>5121174</v>
      </c>
      <c r="V112" s="8"/>
      <c r="X112" s="8"/>
    </row>
    <row r="113" spans="1:24" s="78" customFormat="1" ht="26.25">
      <c r="A113" s="3">
        <v>2416310</v>
      </c>
      <c r="B113" s="23" t="s">
        <v>193</v>
      </c>
      <c r="C113" s="23" t="s">
        <v>194</v>
      </c>
      <c r="D113" s="95" t="s">
        <v>42</v>
      </c>
      <c r="E113" s="24">
        <f t="shared" si="18"/>
        <v>0</v>
      </c>
      <c r="F113" s="40"/>
      <c r="G113" s="40"/>
      <c r="H113" s="40"/>
      <c r="I113" s="40"/>
      <c r="J113" s="24">
        <f t="shared" si="17"/>
        <v>2485000</v>
      </c>
      <c r="K113" s="24"/>
      <c r="L113" s="40"/>
      <c r="M113" s="40"/>
      <c r="N113" s="40">
        <f>O113</f>
        <v>2485000</v>
      </c>
      <c r="O113" s="40">
        <f>2000000+235000+250000</f>
        <v>2485000</v>
      </c>
      <c r="P113" s="14">
        <f t="shared" si="11"/>
        <v>2485000</v>
      </c>
      <c r="Q113" s="75"/>
      <c r="R113" s="75">
        <f>P113-Q113</f>
        <v>2485000</v>
      </c>
      <c r="S113" s="75"/>
      <c r="T113" s="76"/>
      <c r="U113" s="8">
        <f t="shared" si="12"/>
        <v>2485000</v>
      </c>
      <c r="V113" s="77"/>
      <c r="X113" s="77"/>
    </row>
    <row r="114" spans="1:24" s="78" customFormat="1" ht="39">
      <c r="A114" s="82">
        <v>4700000</v>
      </c>
      <c r="B114" s="83"/>
      <c r="C114" s="84"/>
      <c r="D114" s="96" t="s">
        <v>273</v>
      </c>
      <c r="E114" s="97">
        <f>E115</f>
        <v>30000</v>
      </c>
      <c r="F114" s="97">
        <f aca="true" t="shared" si="19" ref="F114:O116">F115</f>
        <v>30000</v>
      </c>
      <c r="G114" s="97">
        <f t="shared" si="19"/>
        <v>0</v>
      </c>
      <c r="H114" s="97">
        <f t="shared" si="19"/>
        <v>0</v>
      </c>
      <c r="I114" s="97">
        <f t="shared" si="19"/>
        <v>0</v>
      </c>
      <c r="J114" s="24">
        <f t="shared" si="17"/>
        <v>0</v>
      </c>
      <c r="K114" s="98">
        <f t="shared" si="19"/>
        <v>0</v>
      </c>
      <c r="L114" s="98">
        <f t="shared" si="19"/>
        <v>0</v>
      </c>
      <c r="M114" s="98">
        <f t="shared" si="19"/>
        <v>0</v>
      </c>
      <c r="N114" s="98">
        <f t="shared" si="19"/>
        <v>0</v>
      </c>
      <c r="O114" s="98">
        <f t="shared" si="19"/>
        <v>0</v>
      </c>
      <c r="P114" s="14">
        <f t="shared" si="11"/>
        <v>30000</v>
      </c>
      <c r="Q114" s="75"/>
      <c r="R114" s="75">
        <f aca="true" t="shared" si="20" ref="R114:R126">P114-Q114</f>
        <v>30000</v>
      </c>
      <c r="S114" s="75"/>
      <c r="T114" s="76">
        <v>30000</v>
      </c>
      <c r="U114" s="8">
        <f t="shared" si="12"/>
        <v>0</v>
      </c>
      <c r="V114" s="77"/>
      <c r="X114" s="77"/>
    </row>
    <row r="115" spans="1:24" s="64" customFormat="1" ht="39">
      <c r="A115" s="82">
        <v>4710000</v>
      </c>
      <c r="B115" s="83"/>
      <c r="C115" s="84"/>
      <c r="D115" s="96" t="s">
        <v>274</v>
      </c>
      <c r="E115" s="97">
        <f>F115</f>
        <v>30000</v>
      </c>
      <c r="F115" s="97">
        <f t="shared" si="19"/>
        <v>30000</v>
      </c>
      <c r="G115" s="97">
        <f t="shared" si="19"/>
        <v>0</v>
      </c>
      <c r="H115" s="97">
        <f t="shared" si="19"/>
        <v>0</v>
      </c>
      <c r="I115" s="97">
        <f t="shared" si="19"/>
        <v>0</v>
      </c>
      <c r="J115" s="24">
        <f t="shared" si="17"/>
        <v>0</v>
      </c>
      <c r="K115" s="98">
        <f t="shared" si="19"/>
        <v>0</v>
      </c>
      <c r="L115" s="98">
        <f t="shared" si="19"/>
        <v>0</v>
      </c>
      <c r="M115" s="98">
        <f t="shared" si="19"/>
        <v>0</v>
      </c>
      <c r="N115" s="98">
        <f t="shared" si="19"/>
        <v>0</v>
      </c>
      <c r="O115" s="98">
        <f t="shared" si="19"/>
        <v>0</v>
      </c>
      <c r="P115" s="14">
        <f t="shared" si="11"/>
        <v>30000</v>
      </c>
      <c r="Q115" s="75"/>
      <c r="R115" s="75">
        <f t="shared" si="20"/>
        <v>30000</v>
      </c>
      <c r="S115" s="75"/>
      <c r="T115" s="76"/>
      <c r="U115" s="8">
        <f t="shared" si="12"/>
        <v>30000</v>
      </c>
      <c r="V115" s="77"/>
      <c r="X115" s="77"/>
    </row>
    <row r="116" spans="1:24" s="78" customFormat="1" ht="52.5">
      <c r="A116" s="82">
        <v>4718100</v>
      </c>
      <c r="B116" s="85">
        <v>8100</v>
      </c>
      <c r="C116" s="86"/>
      <c r="D116" s="99" t="s">
        <v>264</v>
      </c>
      <c r="E116" s="98">
        <f>F116</f>
        <v>30000</v>
      </c>
      <c r="F116" s="98">
        <f t="shared" si="19"/>
        <v>30000</v>
      </c>
      <c r="G116" s="98">
        <f t="shared" si="19"/>
        <v>0</v>
      </c>
      <c r="H116" s="98">
        <f t="shared" si="19"/>
        <v>0</v>
      </c>
      <c r="I116" s="98">
        <f t="shared" si="19"/>
        <v>0</v>
      </c>
      <c r="J116" s="24">
        <f t="shared" si="17"/>
        <v>0</v>
      </c>
      <c r="K116" s="98">
        <f t="shared" si="19"/>
        <v>0</v>
      </c>
      <c r="L116" s="98">
        <f t="shared" si="19"/>
        <v>0</v>
      </c>
      <c r="M116" s="98">
        <f t="shared" si="19"/>
        <v>0</v>
      </c>
      <c r="N116" s="98">
        <f t="shared" si="19"/>
        <v>0</v>
      </c>
      <c r="O116" s="98">
        <f t="shared" si="19"/>
        <v>0</v>
      </c>
      <c r="P116" s="14">
        <f t="shared" si="11"/>
        <v>30000</v>
      </c>
      <c r="Q116" s="75"/>
      <c r="R116" s="75">
        <f t="shared" si="20"/>
        <v>30000</v>
      </c>
      <c r="S116" s="75"/>
      <c r="T116" s="76"/>
      <c r="U116" s="8">
        <f t="shared" si="12"/>
        <v>30000</v>
      </c>
      <c r="V116" s="77"/>
      <c r="X116" s="77"/>
    </row>
    <row r="117" spans="1:24" s="78" customFormat="1" ht="66">
      <c r="A117" s="82">
        <v>4718108</v>
      </c>
      <c r="B117" s="85">
        <v>8108</v>
      </c>
      <c r="C117" s="86" t="s">
        <v>70</v>
      </c>
      <c r="D117" s="100" t="s">
        <v>265</v>
      </c>
      <c r="E117" s="98">
        <f>F117</f>
        <v>30000</v>
      </c>
      <c r="F117" s="98">
        <v>30000</v>
      </c>
      <c r="G117" s="98"/>
      <c r="H117" s="98"/>
      <c r="I117" s="101"/>
      <c r="J117" s="24">
        <f t="shared" si="17"/>
        <v>0</v>
      </c>
      <c r="K117" s="98"/>
      <c r="L117" s="98"/>
      <c r="M117" s="98"/>
      <c r="N117" s="98"/>
      <c r="O117" s="98"/>
      <c r="P117" s="14">
        <f t="shared" si="11"/>
        <v>30000</v>
      </c>
      <c r="Q117" s="75"/>
      <c r="R117" s="75">
        <f t="shared" si="20"/>
        <v>30000</v>
      </c>
      <c r="S117" s="75"/>
      <c r="T117" s="76"/>
      <c r="U117" s="8">
        <f t="shared" si="12"/>
        <v>30000</v>
      </c>
      <c r="V117" s="77"/>
      <c r="X117" s="77"/>
    </row>
    <row r="118" spans="1:24" s="9" customFormat="1" ht="26.25">
      <c r="A118" s="102">
        <v>5300000</v>
      </c>
      <c r="B118" s="102"/>
      <c r="C118" s="103"/>
      <c r="D118" s="104" t="s">
        <v>200</v>
      </c>
      <c r="E118" s="36">
        <f t="shared" si="18"/>
        <v>56000000</v>
      </c>
      <c r="F118" s="97">
        <f>F119</f>
        <v>56000000</v>
      </c>
      <c r="G118" s="97">
        <f>G119</f>
        <v>42000000</v>
      </c>
      <c r="H118" s="97">
        <f>H119</f>
        <v>0</v>
      </c>
      <c r="I118" s="97">
        <f>I119</f>
        <v>0</v>
      </c>
      <c r="J118" s="36">
        <f t="shared" si="17"/>
        <v>36809660</v>
      </c>
      <c r="K118" s="97">
        <f>K119</f>
        <v>34980300</v>
      </c>
      <c r="L118" s="97">
        <f>L119</f>
        <v>19142800</v>
      </c>
      <c r="M118" s="97">
        <f>M119</f>
        <v>1967160</v>
      </c>
      <c r="N118" s="97">
        <f>N119</f>
        <v>1829360</v>
      </c>
      <c r="O118" s="97">
        <f>O119</f>
        <v>0</v>
      </c>
      <c r="P118" s="14">
        <f t="shared" si="11"/>
        <v>92809660</v>
      </c>
      <c r="Q118" s="48">
        <v>86809660</v>
      </c>
      <c r="R118" s="75">
        <f t="shared" si="20"/>
        <v>6000000</v>
      </c>
      <c r="S118" s="48"/>
      <c r="T118" s="5">
        <v>86809660</v>
      </c>
      <c r="U118" s="8">
        <f t="shared" si="12"/>
        <v>6000000</v>
      </c>
      <c r="V118" s="8"/>
      <c r="X118" s="8"/>
    </row>
    <row r="119" spans="1:24" s="9" customFormat="1" ht="39">
      <c r="A119" s="102">
        <v>5310000</v>
      </c>
      <c r="B119" s="102"/>
      <c r="C119" s="103"/>
      <c r="D119" s="104" t="s">
        <v>199</v>
      </c>
      <c r="E119" s="36">
        <f t="shared" si="18"/>
        <v>56000000</v>
      </c>
      <c r="F119" s="97">
        <f>F120+F121</f>
        <v>56000000</v>
      </c>
      <c r="G119" s="97">
        <f>G120+G121</f>
        <v>42000000</v>
      </c>
      <c r="H119" s="97">
        <f>H120+H121</f>
        <v>0</v>
      </c>
      <c r="I119" s="97">
        <f>I120+I121</f>
        <v>0</v>
      </c>
      <c r="J119" s="36">
        <f t="shared" si="17"/>
        <v>36809660</v>
      </c>
      <c r="K119" s="97">
        <f>K120+K121</f>
        <v>34980300</v>
      </c>
      <c r="L119" s="97">
        <f>L120+L121</f>
        <v>19142800</v>
      </c>
      <c r="M119" s="97">
        <f>M120+M121</f>
        <v>1967160</v>
      </c>
      <c r="N119" s="97">
        <f>N120+N121</f>
        <v>1829360</v>
      </c>
      <c r="O119" s="97">
        <f>O120+O121</f>
        <v>0</v>
      </c>
      <c r="P119" s="14">
        <f t="shared" si="11"/>
        <v>92809660</v>
      </c>
      <c r="Q119" s="48"/>
      <c r="R119" s="75">
        <f t="shared" si="20"/>
        <v>92809660</v>
      </c>
      <c r="S119" s="48"/>
      <c r="T119" s="5"/>
      <c r="U119" s="8">
        <f t="shared" si="12"/>
        <v>92809660</v>
      </c>
      <c r="V119" s="8"/>
      <c r="X119" s="8"/>
    </row>
    <row r="120" spans="1:24" s="6" customFormat="1" ht="66">
      <c r="A120" s="105">
        <v>5317340</v>
      </c>
      <c r="B120" s="105">
        <v>7340</v>
      </c>
      <c r="C120" s="106" t="s">
        <v>61</v>
      </c>
      <c r="D120" s="92" t="s">
        <v>62</v>
      </c>
      <c r="E120" s="24">
        <f t="shared" si="18"/>
        <v>50000000</v>
      </c>
      <c r="F120" s="98">
        <v>50000000</v>
      </c>
      <c r="G120" s="98">
        <v>42000000</v>
      </c>
      <c r="H120" s="98"/>
      <c r="I120" s="97"/>
      <c r="J120" s="24">
        <f t="shared" si="17"/>
        <v>36809660</v>
      </c>
      <c r="K120" s="98">
        <v>34980300</v>
      </c>
      <c r="L120" s="98">
        <v>19142800</v>
      </c>
      <c r="M120" s="98">
        <v>1967160</v>
      </c>
      <c r="N120" s="98">
        <v>1829360</v>
      </c>
      <c r="O120" s="98"/>
      <c r="P120" s="14">
        <f t="shared" si="11"/>
        <v>86809660</v>
      </c>
      <c r="Q120" s="48"/>
      <c r="R120" s="75">
        <f t="shared" si="20"/>
        <v>86809660</v>
      </c>
      <c r="S120" s="48"/>
      <c r="T120" s="5"/>
      <c r="U120" s="8">
        <f t="shared" si="12"/>
        <v>86809660</v>
      </c>
      <c r="V120" s="8"/>
      <c r="X120" s="8"/>
    </row>
    <row r="121" spans="1:24" s="64" customFormat="1" ht="39">
      <c r="A121" s="105" t="s">
        <v>296</v>
      </c>
      <c r="B121" s="105">
        <v>7330</v>
      </c>
      <c r="C121" s="106" t="s">
        <v>61</v>
      </c>
      <c r="D121" s="92" t="s">
        <v>297</v>
      </c>
      <c r="E121" s="24">
        <f t="shared" si="18"/>
        <v>6000000</v>
      </c>
      <c r="F121" s="98">
        <f>3000000+3000000</f>
        <v>6000000</v>
      </c>
      <c r="G121" s="98"/>
      <c r="H121" s="98"/>
      <c r="I121" s="97"/>
      <c r="J121" s="24">
        <f t="shared" si="17"/>
        <v>0</v>
      </c>
      <c r="K121" s="98"/>
      <c r="L121" s="98"/>
      <c r="M121" s="98"/>
      <c r="N121" s="98"/>
      <c r="O121" s="98"/>
      <c r="P121" s="14">
        <f t="shared" si="11"/>
        <v>6000000</v>
      </c>
      <c r="Q121" s="75"/>
      <c r="R121" s="75"/>
      <c r="S121" s="75"/>
      <c r="T121" s="76"/>
      <c r="U121" s="8">
        <f t="shared" si="12"/>
        <v>6000000</v>
      </c>
      <c r="V121" s="77"/>
      <c r="X121" s="77"/>
    </row>
    <row r="122" spans="1:24" s="6" customFormat="1" ht="26.25">
      <c r="A122" s="102">
        <v>6000000</v>
      </c>
      <c r="B122" s="102"/>
      <c r="C122" s="103"/>
      <c r="D122" s="104" t="s">
        <v>229</v>
      </c>
      <c r="E122" s="36">
        <f t="shared" si="18"/>
        <v>0</v>
      </c>
      <c r="F122" s="97">
        <f aca="true" t="shared" si="21" ref="F122:O122">F123</f>
        <v>0</v>
      </c>
      <c r="G122" s="97">
        <f t="shared" si="21"/>
        <v>0</v>
      </c>
      <c r="H122" s="97">
        <f t="shared" si="21"/>
        <v>0</v>
      </c>
      <c r="I122" s="97">
        <f t="shared" si="21"/>
        <v>0</v>
      </c>
      <c r="J122" s="36">
        <f t="shared" si="17"/>
        <v>6923964</v>
      </c>
      <c r="K122" s="97">
        <f t="shared" si="21"/>
        <v>6923964</v>
      </c>
      <c r="L122" s="97">
        <f t="shared" si="21"/>
        <v>0</v>
      </c>
      <c r="M122" s="97">
        <f t="shared" si="21"/>
        <v>0</v>
      </c>
      <c r="N122" s="97">
        <f t="shared" si="21"/>
        <v>0</v>
      </c>
      <c r="O122" s="97">
        <f t="shared" si="21"/>
        <v>0</v>
      </c>
      <c r="P122" s="14">
        <f t="shared" si="11"/>
        <v>6923964</v>
      </c>
      <c r="Q122" s="48">
        <v>493210</v>
      </c>
      <c r="R122" s="75">
        <f t="shared" si="20"/>
        <v>6430754</v>
      </c>
      <c r="S122" s="48"/>
      <c r="T122" s="5">
        <v>6923964</v>
      </c>
      <c r="U122" s="8">
        <f t="shared" si="12"/>
        <v>0</v>
      </c>
      <c r="V122" s="8"/>
      <c r="X122" s="8"/>
    </row>
    <row r="123" spans="1:24" s="6" customFormat="1" ht="39">
      <c r="A123" s="102">
        <v>6010000</v>
      </c>
      <c r="B123" s="102"/>
      <c r="C123" s="103"/>
      <c r="D123" s="104" t="s">
        <v>230</v>
      </c>
      <c r="E123" s="36">
        <f>F123+I123</f>
        <v>0</v>
      </c>
      <c r="F123" s="97">
        <f>SUM(F124:F126)</f>
        <v>0</v>
      </c>
      <c r="G123" s="97">
        <f>SUM(G124:G126)</f>
        <v>0</v>
      </c>
      <c r="H123" s="97">
        <f>SUM(H124:H126)</f>
        <v>0</v>
      </c>
      <c r="I123" s="97">
        <f>SUM(I124:I126)</f>
        <v>0</v>
      </c>
      <c r="J123" s="36">
        <f t="shared" si="17"/>
        <v>6923964</v>
      </c>
      <c r="K123" s="97">
        <f>SUM(K124:K126)</f>
        <v>6923964</v>
      </c>
      <c r="L123" s="97">
        <f>SUM(L124:L126)</f>
        <v>0</v>
      </c>
      <c r="M123" s="97">
        <f>SUM(M124:M126)</f>
        <v>0</v>
      </c>
      <c r="N123" s="97">
        <f>SUM(N124:N126)</f>
        <v>0</v>
      </c>
      <c r="O123" s="97">
        <f>SUM(O124:O126)</f>
        <v>0</v>
      </c>
      <c r="P123" s="14">
        <f t="shared" si="11"/>
        <v>6923964</v>
      </c>
      <c r="Q123" s="48"/>
      <c r="R123" s="75">
        <f t="shared" si="20"/>
        <v>6923964</v>
      </c>
      <c r="S123" s="48"/>
      <c r="T123" s="5"/>
      <c r="U123" s="8">
        <f t="shared" si="12"/>
        <v>6923964</v>
      </c>
      <c r="V123" s="8"/>
      <c r="X123" s="8"/>
    </row>
    <row r="124" spans="1:24" s="64" customFormat="1" ht="39">
      <c r="A124" s="105">
        <v>6019120</v>
      </c>
      <c r="B124" s="105">
        <v>9120</v>
      </c>
      <c r="C124" s="107" t="s">
        <v>266</v>
      </c>
      <c r="D124" s="92" t="s">
        <v>267</v>
      </c>
      <c r="E124" s="36">
        <f>F124+I124</f>
        <v>0</v>
      </c>
      <c r="F124" s="97"/>
      <c r="G124" s="97"/>
      <c r="H124" s="97"/>
      <c r="I124" s="97"/>
      <c r="J124" s="24">
        <f t="shared" si="17"/>
        <v>5460341</v>
      </c>
      <c r="K124" s="98">
        <v>5460341</v>
      </c>
      <c r="L124" s="97"/>
      <c r="M124" s="97"/>
      <c r="N124" s="97"/>
      <c r="O124" s="97"/>
      <c r="P124" s="14">
        <f t="shared" si="11"/>
        <v>5460341</v>
      </c>
      <c r="Q124" s="75"/>
      <c r="R124" s="75">
        <f t="shared" si="20"/>
        <v>5460341</v>
      </c>
      <c r="S124" s="75"/>
      <c r="T124" s="76"/>
      <c r="U124" s="8">
        <f t="shared" si="12"/>
        <v>5460341</v>
      </c>
      <c r="V124" s="77"/>
      <c r="X124" s="77"/>
    </row>
    <row r="125" spans="1:24" s="6" customFormat="1" ht="52.5">
      <c r="A125" s="3">
        <v>6019140</v>
      </c>
      <c r="B125" s="105">
        <v>9140</v>
      </c>
      <c r="C125" s="7" t="s">
        <v>63</v>
      </c>
      <c r="D125" s="92" t="s">
        <v>64</v>
      </c>
      <c r="E125" s="24">
        <f t="shared" si="18"/>
        <v>0</v>
      </c>
      <c r="F125" s="101"/>
      <c r="G125" s="98"/>
      <c r="H125" s="98"/>
      <c r="I125" s="101"/>
      <c r="J125" s="24">
        <f t="shared" si="17"/>
        <v>10450</v>
      </c>
      <c r="K125" s="98">
        <v>10450</v>
      </c>
      <c r="L125" s="98"/>
      <c r="M125" s="98"/>
      <c r="N125" s="98"/>
      <c r="O125" s="98"/>
      <c r="P125" s="14">
        <f t="shared" si="11"/>
        <v>10450</v>
      </c>
      <c r="Q125" s="48"/>
      <c r="R125" s="75">
        <f t="shared" si="20"/>
        <v>10450</v>
      </c>
      <c r="S125" s="48"/>
      <c r="T125" s="5"/>
      <c r="U125" s="8">
        <f t="shared" si="12"/>
        <v>10450</v>
      </c>
      <c r="V125" s="8"/>
      <c r="X125" s="8"/>
    </row>
    <row r="126" spans="1:24" s="6" customFormat="1" ht="52.5">
      <c r="A126" s="3">
        <v>6019150</v>
      </c>
      <c r="B126" s="105">
        <v>9150</v>
      </c>
      <c r="C126" s="7" t="s">
        <v>65</v>
      </c>
      <c r="D126" s="92" t="s">
        <v>66</v>
      </c>
      <c r="E126" s="24">
        <f t="shared" si="18"/>
        <v>0</v>
      </c>
      <c r="F126" s="101"/>
      <c r="G126" s="98"/>
      <c r="H126" s="98"/>
      <c r="I126" s="101"/>
      <c r="J126" s="24">
        <f t="shared" si="17"/>
        <v>1453173</v>
      </c>
      <c r="K126" s="98">
        <f>482760+970413</f>
        <v>1453173</v>
      </c>
      <c r="L126" s="98"/>
      <c r="M126" s="98"/>
      <c r="N126" s="98"/>
      <c r="O126" s="98"/>
      <c r="P126" s="14">
        <f t="shared" si="11"/>
        <v>1453173</v>
      </c>
      <c r="Q126" s="48"/>
      <c r="R126" s="75">
        <f t="shared" si="20"/>
        <v>1453173</v>
      </c>
      <c r="S126" s="48"/>
      <c r="T126" s="5"/>
      <c r="U126" s="8">
        <f t="shared" si="12"/>
        <v>1453173</v>
      </c>
      <c r="V126" s="8"/>
      <c r="X126" s="8"/>
    </row>
    <row r="127" spans="1:24" ht="52.5">
      <c r="A127" s="82">
        <v>7300000</v>
      </c>
      <c r="B127" s="4"/>
      <c r="C127" s="4"/>
      <c r="D127" s="108" t="s">
        <v>279</v>
      </c>
      <c r="E127" s="36">
        <f>E128</f>
        <v>8322800</v>
      </c>
      <c r="F127" s="36">
        <f aca="true" t="shared" si="22" ref="F127:K127">F128</f>
        <v>8322800</v>
      </c>
      <c r="G127" s="36">
        <f t="shared" si="22"/>
        <v>0</v>
      </c>
      <c r="H127" s="36">
        <f t="shared" si="22"/>
        <v>0</v>
      </c>
      <c r="I127" s="36">
        <f t="shared" si="22"/>
        <v>0</v>
      </c>
      <c r="J127" s="36">
        <f>K127+N127</f>
        <v>400000000</v>
      </c>
      <c r="K127" s="36">
        <f t="shared" si="22"/>
        <v>368805852</v>
      </c>
      <c r="L127" s="36">
        <f>L128</f>
        <v>0</v>
      </c>
      <c r="M127" s="36">
        <f>M128</f>
        <v>0</v>
      </c>
      <c r="N127" s="36">
        <f>N128</f>
        <v>31194148</v>
      </c>
      <c r="O127" s="36">
        <f>O128</f>
        <v>0</v>
      </c>
      <c r="P127" s="14">
        <f t="shared" si="11"/>
        <v>408322800</v>
      </c>
      <c r="Q127" s="48">
        <v>4321494552</v>
      </c>
      <c r="R127" s="75">
        <f>P132-Q127</f>
        <v>681879043</v>
      </c>
      <c r="S127" s="48"/>
      <c r="T127" s="5">
        <v>269000000</v>
      </c>
      <c r="U127" s="8">
        <f t="shared" si="12"/>
        <v>139322800</v>
      </c>
      <c r="V127" s="8"/>
      <c r="W127" s="6"/>
      <c r="X127" s="8"/>
    </row>
    <row r="128" spans="1:24" ht="52.5">
      <c r="A128" s="82">
        <v>7310000</v>
      </c>
      <c r="B128" s="4"/>
      <c r="C128" s="4"/>
      <c r="D128" s="108" t="s">
        <v>280</v>
      </c>
      <c r="E128" s="36">
        <f aca="true" t="shared" si="23" ref="E128:O128">E130+E129+E131</f>
        <v>8322800</v>
      </c>
      <c r="F128" s="36">
        <f t="shared" si="23"/>
        <v>8322800</v>
      </c>
      <c r="G128" s="36">
        <f t="shared" si="23"/>
        <v>0</v>
      </c>
      <c r="H128" s="36">
        <f t="shared" si="23"/>
        <v>0</v>
      </c>
      <c r="I128" s="36">
        <f t="shared" si="23"/>
        <v>0</v>
      </c>
      <c r="J128" s="36">
        <f t="shared" si="23"/>
        <v>400000000</v>
      </c>
      <c r="K128" s="36">
        <f t="shared" si="23"/>
        <v>368805852</v>
      </c>
      <c r="L128" s="36">
        <f t="shared" si="23"/>
        <v>0</v>
      </c>
      <c r="M128" s="36">
        <f t="shared" si="23"/>
        <v>0</v>
      </c>
      <c r="N128" s="36">
        <f t="shared" si="23"/>
        <v>31194148</v>
      </c>
      <c r="O128" s="36">
        <f t="shared" si="23"/>
        <v>0</v>
      </c>
      <c r="P128" s="14">
        <f t="shared" si="11"/>
        <v>408322800</v>
      </c>
      <c r="Q128" s="48"/>
      <c r="R128" s="75">
        <f>P133-Q128</f>
        <v>5003373595</v>
      </c>
      <c r="S128" s="48"/>
      <c r="T128" s="5"/>
      <c r="U128" s="8">
        <f t="shared" si="12"/>
        <v>408322800</v>
      </c>
      <c r="V128" s="8"/>
      <c r="W128" s="6"/>
      <c r="X128" s="8"/>
    </row>
    <row r="129" spans="1:24" s="64" customFormat="1" ht="26.25">
      <c r="A129" s="85">
        <v>7316650</v>
      </c>
      <c r="B129" s="7">
        <v>6650</v>
      </c>
      <c r="C129" s="7" t="s">
        <v>282</v>
      </c>
      <c r="D129" s="31" t="s">
        <v>298</v>
      </c>
      <c r="E129" s="24">
        <f>F129+I129</f>
        <v>5000000</v>
      </c>
      <c r="F129" s="24">
        <f>3000000+2000000</f>
        <v>5000000</v>
      </c>
      <c r="G129" s="24"/>
      <c r="H129" s="24"/>
      <c r="I129" s="24"/>
      <c r="J129" s="24">
        <f>K129+N129</f>
        <v>0</v>
      </c>
      <c r="K129" s="24"/>
      <c r="L129" s="24"/>
      <c r="M129" s="24"/>
      <c r="N129" s="24"/>
      <c r="O129" s="24"/>
      <c r="P129" s="14">
        <f t="shared" si="11"/>
        <v>5000000</v>
      </c>
      <c r="Q129" s="115"/>
      <c r="R129" s="115"/>
      <c r="S129" s="115"/>
      <c r="T129" s="76"/>
      <c r="U129" s="8">
        <f t="shared" si="12"/>
        <v>5000000</v>
      </c>
      <c r="V129" s="76"/>
      <c r="X129" s="76"/>
    </row>
    <row r="130" spans="1:24" ht="66">
      <c r="A130" s="85">
        <v>7316680</v>
      </c>
      <c r="B130" s="7" t="s">
        <v>281</v>
      </c>
      <c r="C130" s="7" t="s">
        <v>282</v>
      </c>
      <c r="D130" s="29" t="s">
        <v>283</v>
      </c>
      <c r="E130" s="24">
        <f>F130+I130</f>
        <v>0</v>
      </c>
      <c r="F130" s="24"/>
      <c r="G130" s="24"/>
      <c r="H130" s="24"/>
      <c r="I130" s="15"/>
      <c r="J130" s="24">
        <f>K130+N130</f>
        <v>400000000</v>
      </c>
      <c r="K130" s="24">
        <f>237805852+131000000</f>
        <v>368805852</v>
      </c>
      <c r="L130" s="36"/>
      <c r="M130" s="24"/>
      <c r="N130" s="24">
        <v>31194148</v>
      </c>
      <c r="O130" s="24"/>
      <c r="P130" s="14">
        <f t="shared" si="11"/>
        <v>400000000</v>
      </c>
      <c r="Q130" s="48"/>
      <c r="R130" s="75">
        <f>P134-Q130</f>
        <v>1952723200</v>
      </c>
      <c r="S130" s="48"/>
      <c r="T130" s="5"/>
      <c r="U130" s="8">
        <f t="shared" si="12"/>
        <v>400000000</v>
      </c>
      <c r="V130" s="8"/>
      <c r="W130" s="6"/>
      <c r="X130" s="8"/>
    </row>
    <row r="131" spans="1:24" s="64" customFormat="1" ht="12.75">
      <c r="A131" s="85">
        <v>7318600</v>
      </c>
      <c r="B131" s="7">
        <v>8600</v>
      </c>
      <c r="C131" s="7" t="s">
        <v>117</v>
      </c>
      <c r="D131" s="29" t="s">
        <v>43</v>
      </c>
      <c r="E131" s="24">
        <f>F131+I131</f>
        <v>3322800</v>
      </c>
      <c r="F131" s="24">
        <v>3322800</v>
      </c>
      <c r="G131" s="24"/>
      <c r="H131" s="24"/>
      <c r="I131" s="15"/>
      <c r="J131" s="24">
        <f>K131+N131</f>
        <v>0</v>
      </c>
      <c r="K131" s="24"/>
      <c r="L131" s="36"/>
      <c r="M131" s="24"/>
      <c r="N131" s="24"/>
      <c r="O131" s="24"/>
      <c r="P131" s="14">
        <f t="shared" si="11"/>
        <v>3322800</v>
      </c>
      <c r="Q131" s="75"/>
      <c r="R131" s="75"/>
      <c r="S131" s="75"/>
      <c r="T131" s="76"/>
      <c r="U131" s="8">
        <f t="shared" si="12"/>
        <v>3322800</v>
      </c>
      <c r="V131" s="77"/>
      <c r="X131" s="77"/>
    </row>
    <row r="132" spans="1:24" ht="39">
      <c r="A132" s="2">
        <v>7600000</v>
      </c>
      <c r="B132" s="2"/>
      <c r="C132" s="2"/>
      <c r="D132" s="34" t="s">
        <v>228</v>
      </c>
      <c r="E132" s="36">
        <f>SUM(E133)</f>
        <v>4836625140</v>
      </c>
      <c r="F132" s="36">
        <f>SUM(F133)</f>
        <v>4824007807</v>
      </c>
      <c r="G132" s="36">
        <f aca="true" t="shared" si="24" ref="G132:O132">SUM(G133)</f>
        <v>0</v>
      </c>
      <c r="H132" s="36">
        <f t="shared" si="24"/>
        <v>0</v>
      </c>
      <c r="I132" s="36">
        <f t="shared" si="24"/>
        <v>12617333</v>
      </c>
      <c r="J132" s="36">
        <f t="shared" si="17"/>
        <v>166748455</v>
      </c>
      <c r="K132" s="36">
        <f t="shared" si="24"/>
        <v>95181000</v>
      </c>
      <c r="L132" s="36">
        <f t="shared" si="24"/>
        <v>0</v>
      </c>
      <c r="M132" s="36">
        <f t="shared" si="24"/>
        <v>0</v>
      </c>
      <c r="N132" s="36">
        <f t="shared" si="24"/>
        <v>71567455</v>
      </c>
      <c r="O132" s="36">
        <f t="shared" si="24"/>
        <v>71567455</v>
      </c>
      <c r="P132" s="14">
        <f t="shared" si="11"/>
        <v>5003373595</v>
      </c>
      <c r="Q132" s="48"/>
      <c r="R132" s="75">
        <f>P135-Q132</f>
        <v>2670061700</v>
      </c>
      <c r="S132" s="48"/>
      <c r="T132" s="5">
        <v>4390796839</v>
      </c>
      <c r="U132" s="8">
        <f t="shared" si="12"/>
        <v>612576756</v>
      </c>
      <c r="V132" s="8">
        <v>689983509</v>
      </c>
      <c r="W132" s="6"/>
      <c r="X132" s="8"/>
    </row>
    <row r="133" spans="1:24" ht="26.25">
      <c r="A133" s="2">
        <v>7610000</v>
      </c>
      <c r="B133" s="2"/>
      <c r="C133" s="2"/>
      <c r="D133" s="34" t="s">
        <v>252</v>
      </c>
      <c r="E133" s="36">
        <f>SUM(E134:E157)</f>
        <v>4836625140</v>
      </c>
      <c r="F133" s="36">
        <f>SUM(F134:F157)</f>
        <v>4824007807</v>
      </c>
      <c r="G133" s="36">
        <f>SUM(G134:G157)</f>
        <v>0</v>
      </c>
      <c r="H133" s="36">
        <f>SUM(H134:H157)</f>
        <v>0</v>
      </c>
      <c r="I133" s="36">
        <f>SUM(I134:I157)</f>
        <v>12617333</v>
      </c>
      <c r="J133" s="36">
        <f t="shared" si="17"/>
        <v>166748455</v>
      </c>
      <c r="K133" s="36">
        <f>SUM(K134:K157)</f>
        <v>95181000</v>
      </c>
      <c r="L133" s="36">
        <f>SUM(L134:L157)</f>
        <v>0</v>
      </c>
      <c r="M133" s="36">
        <f>SUM(M134:M157)</f>
        <v>0</v>
      </c>
      <c r="N133" s="36">
        <f>SUM(N134:N157)</f>
        <v>71567455</v>
      </c>
      <c r="O133" s="36">
        <f>SUM(O134:O157)</f>
        <v>71567455</v>
      </c>
      <c r="P133" s="14">
        <f t="shared" si="11"/>
        <v>5003373595</v>
      </c>
      <c r="Q133" s="48"/>
      <c r="R133" s="75">
        <f>P136-Q133</f>
        <v>83716000</v>
      </c>
      <c r="S133" s="48"/>
      <c r="T133" s="5">
        <v>10710000</v>
      </c>
      <c r="U133" s="8">
        <f t="shared" si="12"/>
        <v>4992663595</v>
      </c>
      <c r="V133" s="8">
        <f>U132-V132</f>
        <v>-77406753</v>
      </c>
      <c r="W133" s="6"/>
      <c r="X133" s="8"/>
    </row>
    <row r="134" spans="1:24" s="64" customFormat="1" ht="113.25" customHeight="1">
      <c r="A134" s="7" t="s">
        <v>223</v>
      </c>
      <c r="B134" s="7" t="s">
        <v>224</v>
      </c>
      <c r="C134" s="7" t="s">
        <v>118</v>
      </c>
      <c r="D134" s="33" t="s">
        <v>201</v>
      </c>
      <c r="E134" s="24">
        <f t="shared" si="18"/>
        <v>1952723200</v>
      </c>
      <c r="F134" s="24">
        <v>1952723200</v>
      </c>
      <c r="G134" s="24"/>
      <c r="H134" s="24"/>
      <c r="I134" s="15"/>
      <c r="J134" s="24">
        <f t="shared" si="17"/>
        <v>0</v>
      </c>
      <c r="K134" s="24"/>
      <c r="L134" s="24"/>
      <c r="M134" s="24"/>
      <c r="N134" s="24"/>
      <c r="O134" s="24"/>
      <c r="P134" s="14">
        <f t="shared" si="11"/>
        <v>1952723200</v>
      </c>
      <c r="Q134" s="75"/>
      <c r="R134" s="75">
        <f>P138-Q134</f>
        <v>20612700</v>
      </c>
      <c r="S134" s="75"/>
      <c r="T134" s="76">
        <v>17312614</v>
      </c>
      <c r="U134" s="8">
        <f t="shared" si="12"/>
        <v>1935410586</v>
      </c>
      <c r="V134" s="77"/>
      <c r="X134" s="77"/>
    </row>
    <row r="135" spans="1:24" s="64" customFormat="1" ht="129" customHeight="1">
      <c r="A135" s="7" t="s">
        <v>119</v>
      </c>
      <c r="B135" s="7" t="s">
        <v>120</v>
      </c>
      <c r="C135" s="7" t="s">
        <v>118</v>
      </c>
      <c r="D135" s="31" t="s">
        <v>202</v>
      </c>
      <c r="E135" s="24">
        <f t="shared" si="18"/>
        <v>2670061700</v>
      </c>
      <c r="F135" s="24">
        <f>2260429200+475200200-65567700</f>
        <v>2670061700</v>
      </c>
      <c r="G135" s="24"/>
      <c r="H135" s="24"/>
      <c r="I135" s="15"/>
      <c r="J135" s="24">
        <f t="shared" si="17"/>
        <v>0</v>
      </c>
      <c r="K135" s="24"/>
      <c r="L135" s="24"/>
      <c r="M135" s="24"/>
      <c r="N135" s="24"/>
      <c r="O135" s="24"/>
      <c r="P135" s="14">
        <f t="shared" si="11"/>
        <v>2670061700</v>
      </c>
      <c r="Q135" s="75"/>
      <c r="R135" s="75">
        <f>P139-Q135</f>
        <v>17850000</v>
      </c>
      <c r="S135" s="75"/>
      <c r="T135" s="76">
        <v>672191495</v>
      </c>
      <c r="U135" s="8">
        <f t="shared" si="12"/>
        <v>1997870205</v>
      </c>
      <c r="V135" s="77"/>
      <c r="X135" s="77"/>
    </row>
    <row r="136" spans="1:24" s="64" customFormat="1" ht="66">
      <c r="A136" s="7" t="s">
        <v>121</v>
      </c>
      <c r="B136" s="7" t="s">
        <v>122</v>
      </c>
      <c r="C136" s="7" t="s">
        <v>118</v>
      </c>
      <c r="D136" s="31" t="s">
        <v>251</v>
      </c>
      <c r="E136" s="24">
        <f t="shared" si="18"/>
        <v>83716000</v>
      </c>
      <c r="F136" s="24">
        <v>83716000</v>
      </c>
      <c r="G136" s="24"/>
      <c r="H136" s="24"/>
      <c r="I136" s="15"/>
      <c r="J136" s="24">
        <f t="shared" si="17"/>
        <v>0</v>
      </c>
      <c r="K136" s="24"/>
      <c r="L136" s="24"/>
      <c r="M136" s="24"/>
      <c r="N136" s="24"/>
      <c r="O136" s="24"/>
      <c r="P136" s="14">
        <f t="shared" si="11"/>
        <v>83716000</v>
      </c>
      <c r="Q136" s="75"/>
      <c r="R136" s="75">
        <f>P140-Q136</f>
        <v>11494253</v>
      </c>
      <c r="S136" s="75"/>
      <c r="T136" s="76"/>
      <c r="U136" s="8">
        <f t="shared" si="12"/>
        <v>83716000</v>
      </c>
      <c r="V136" s="77"/>
      <c r="X136" s="77"/>
    </row>
    <row r="137" spans="1:24" s="64" customFormat="1" ht="85.5" customHeight="1">
      <c r="A137" s="3">
        <v>7618420</v>
      </c>
      <c r="B137" s="87" t="s">
        <v>275</v>
      </c>
      <c r="C137" s="87" t="s">
        <v>118</v>
      </c>
      <c r="D137" s="88" t="s">
        <v>276</v>
      </c>
      <c r="E137" s="24">
        <f t="shared" si="18"/>
        <v>4654400</v>
      </c>
      <c r="F137" s="89">
        <v>465400</v>
      </c>
      <c r="G137" s="89"/>
      <c r="H137" s="89"/>
      <c r="I137" s="89">
        <f>4189000</f>
        <v>4189000</v>
      </c>
      <c r="J137" s="24">
        <f t="shared" si="17"/>
        <v>0</v>
      </c>
      <c r="K137" s="89"/>
      <c r="L137" s="90"/>
      <c r="M137" s="89"/>
      <c r="N137" s="89"/>
      <c r="O137" s="89"/>
      <c r="P137" s="14">
        <f t="shared" si="11"/>
        <v>4654400</v>
      </c>
      <c r="Q137" s="75"/>
      <c r="R137" s="75"/>
      <c r="S137" s="75"/>
      <c r="T137" s="76"/>
      <c r="U137" s="8">
        <f t="shared" si="12"/>
        <v>4654400</v>
      </c>
      <c r="V137" s="77"/>
      <c r="X137" s="77"/>
    </row>
    <row r="138" spans="1:24" s="79" customFormat="1" ht="194.25" customHeight="1">
      <c r="A138" s="7" t="s">
        <v>123</v>
      </c>
      <c r="B138" s="7" t="s">
        <v>124</v>
      </c>
      <c r="C138" s="7" t="s">
        <v>118</v>
      </c>
      <c r="D138" s="33" t="s">
        <v>189</v>
      </c>
      <c r="E138" s="24">
        <f t="shared" si="18"/>
        <v>20612700</v>
      </c>
      <c r="F138" s="24">
        <f>21740600-1127900</f>
        <v>20612700</v>
      </c>
      <c r="G138" s="24"/>
      <c r="H138" s="24"/>
      <c r="I138" s="15"/>
      <c r="J138" s="24">
        <f t="shared" si="17"/>
        <v>0</v>
      </c>
      <c r="K138" s="24"/>
      <c r="L138" s="24"/>
      <c r="M138" s="24"/>
      <c r="N138" s="24"/>
      <c r="O138" s="24"/>
      <c r="P138" s="14">
        <f t="shared" si="11"/>
        <v>20612700</v>
      </c>
      <c r="Q138" s="75"/>
      <c r="R138" s="75">
        <f>P142-Q138</f>
        <v>221000</v>
      </c>
      <c r="S138" s="75"/>
      <c r="T138" s="76"/>
      <c r="U138" s="8">
        <f t="shared" si="12"/>
        <v>20612700</v>
      </c>
      <c r="V138" s="77"/>
      <c r="X138" s="77"/>
    </row>
    <row r="139" spans="1:24" ht="99.75" customHeight="1">
      <c r="A139" s="7" t="s">
        <v>256</v>
      </c>
      <c r="B139" s="7">
        <v>8610</v>
      </c>
      <c r="C139" s="7" t="s">
        <v>118</v>
      </c>
      <c r="D139" s="33" t="s">
        <v>257</v>
      </c>
      <c r="E139" s="24">
        <f t="shared" si="18"/>
        <v>0</v>
      </c>
      <c r="F139" s="24"/>
      <c r="G139" s="24"/>
      <c r="H139" s="24"/>
      <c r="I139" s="15"/>
      <c r="J139" s="24">
        <f t="shared" si="17"/>
        <v>17850000</v>
      </c>
      <c r="K139" s="24"/>
      <c r="L139" s="24"/>
      <c r="M139" s="24"/>
      <c r="N139" s="24">
        <f aca="true" t="shared" si="25" ref="N139:N144">O139</f>
        <v>17850000</v>
      </c>
      <c r="O139" s="24">
        <f>5950000+1190000+10710000</f>
        <v>17850000</v>
      </c>
      <c r="P139" s="14">
        <f t="shared" si="11"/>
        <v>17850000</v>
      </c>
      <c r="Q139" s="48"/>
      <c r="R139" s="75">
        <f>P144-Q139</f>
        <v>732000</v>
      </c>
      <c r="S139" s="48"/>
      <c r="T139" s="5"/>
      <c r="U139" s="8">
        <f t="shared" si="12"/>
        <v>17850000</v>
      </c>
      <c r="V139" s="8"/>
      <c r="W139" s="6"/>
      <c r="X139" s="8"/>
    </row>
    <row r="140" spans="1:24" ht="92.25">
      <c r="A140" s="7" t="s">
        <v>256</v>
      </c>
      <c r="B140" s="7">
        <v>8610</v>
      </c>
      <c r="C140" s="7" t="s">
        <v>118</v>
      </c>
      <c r="D140" s="33" t="s">
        <v>258</v>
      </c>
      <c r="E140" s="24">
        <f t="shared" si="18"/>
        <v>0</v>
      </c>
      <c r="F140" s="24"/>
      <c r="G140" s="24"/>
      <c r="H140" s="24"/>
      <c r="I140" s="15"/>
      <c r="J140" s="24">
        <f t="shared" si="17"/>
        <v>11494253</v>
      </c>
      <c r="K140" s="24"/>
      <c r="L140" s="24"/>
      <c r="M140" s="24"/>
      <c r="N140" s="24">
        <f t="shared" si="25"/>
        <v>11494253</v>
      </c>
      <c r="O140" s="24">
        <f>8070000+100000+90000+2934296+299957</f>
        <v>11494253</v>
      </c>
      <c r="P140" s="14">
        <f t="shared" si="11"/>
        <v>11494253</v>
      </c>
      <c r="Q140" s="48"/>
      <c r="R140" s="75">
        <f>P145-Q140</f>
        <v>1400000</v>
      </c>
      <c r="S140" s="48"/>
      <c r="T140" s="5"/>
      <c r="U140" s="8">
        <f t="shared" si="12"/>
        <v>11494253</v>
      </c>
      <c r="V140" s="8"/>
      <c r="W140" s="6"/>
      <c r="X140" s="8"/>
    </row>
    <row r="141" spans="1:21" s="64" customFormat="1" ht="66">
      <c r="A141" s="7" t="s">
        <v>256</v>
      </c>
      <c r="B141" s="7">
        <v>8610</v>
      </c>
      <c r="C141" s="7" t="s">
        <v>118</v>
      </c>
      <c r="D141" s="33" t="s">
        <v>306</v>
      </c>
      <c r="E141" s="24">
        <f>F141+I141</f>
        <v>541122</v>
      </c>
      <c r="F141" s="24">
        <v>541122</v>
      </c>
      <c r="G141" s="24"/>
      <c r="H141" s="24"/>
      <c r="I141" s="15"/>
      <c r="J141" s="24">
        <f>K141+N141</f>
        <v>765000</v>
      </c>
      <c r="K141" s="24"/>
      <c r="L141" s="24"/>
      <c r="M141" s="24"/>
      <c r="N141" s="24">
        <f t="shared" si="25"/>
        <v>765000</v>
      </c>
      <c r="O141" s="24">
        <f>765000</f>
        <v>765000</v>
      </c>
      <c r="P141" s="14">
        <f>E141+J141</f>
        <v>1306122</v>
      </c>
      <c r="Q141" s="76"/>
      <c r="R141" s="75"/>
      <c r="S141" s="76"/>
      <c r="U141" s="77">
        <f aca="true" t="shared" si="26" ref="U141:U158">P142-T141</f>
        <v>221000</v>
      </c>
    </row>
    <row r="142" spans="1:21" s="64" customFormat="1" ht="186" customHeight="1">
      <c r="A142" s="7" t="s">
        <v>256</v>
      </c>
      <c r="B142" s="7">
        <v>8610</v>
      </c>
      <c r="C142" s="7" t="s">
        <v>118</v>
      </c>
      <c r="D142" s="33" t="s">
        <v>268</v>
      </c>
      <c r="E142" s="24">
        <f t="shared" si="18"/>
        <v>0</v>
      </c>
      <c r="F142" s="24"/>
      <c r="G142" s="24"/>
      <c r="H142" s="24"/>
      <c r="I142" s="15"/>
      <c r="J142" s="24">
        <f t="shared" si="17"/>
        <v>221000</v>
      </c>
      <c r="K142" s="24"/>
      <c r="L142" s="24"/>
      <c r="M142" s="24"/>
      <c r="N142" s="24">
        <f t="shared" si="25"/>
        <v>221000</v>
      </c>
      <c r="O142" s="24">
        <v>221000</v>
      </c>
      <c r="P142" s="14">
        <f aca="true" t="shared" si="27" ref="P142:P157">E142+J142</f>
        <v>221000</v>
      </c>
      <c r="Q142" s="76"/>
      <c r="R142" s="75"/>
      <c r="S142" s="76"/>
      <c r="U142" s="8">
        <f t="shared" si="26"/>
        <v>1482900</v>
      </c>
    </row>
    <row r="143" spans="1:24" ht="132">
      <c r="A143" s="7" t="s">
        <v>260</v>
      </c>
      <c r="B143" s="7" t="s">
        <v>261</v>
      </c>
      <c r="C143" s="7" t="s">
        <v>118</v>
      </c>
      <c r="D143" s="33" t="s">
        <v>300</v>
      </c>
      <c r="E143" s="24">
        <f t="shared" si="18"/>
        <v>1161000</v>
      </c>
      <c r="F143" s="24">
        <v>1161000</v>
      </c>
      <c r="G143" s="24"/>
      <c r="H143" s="24"/>
      <c r="I143" s="15"/>
      <c r="J143" s="24">
        <f t="shared" si="17"/>
        <v>321900</v>
      </c>
      <c r="K143" s="24"/>
      <c r="L143" s="24"/>
      <c r="M143" s="24"/>
      <c r="N143" s="24">
        <f t="shared" si="25"/>
        <v>321900</v>
      </c>
      <c r="O143" s="24">
        <v>321900</v>
      </c>
      <c r="P143" s="14">
        <f t="shared" si="27"/>
        <v>1482900</v>
      </c>
      <c r="Q143" s="5"/>
      <c r="R143" s="75"/>
      <c r="S143" s="5"/>
      <c r="T143" s="6"/>
      <c r="U143" s="8">
        <f t="shared" si="26"/>
        <v>732000</v>
      </c>
      <c r="V143" s="6"/>
      <c r="W143" s="6"/>
      <c r="X143" s="6"/>
    </row>
    <row r="144" spans="1:21" ht="93" customHeight="1">
      <c r="A144" s="7" t="s">
        <v>260</v>
      </c>
      <c r="B144" s="7" t="s">
        <v>261</v>
      </c>
      <c r="C144" s="7" t="s">
        <v>118</v>
      </c>
      <c r="D144" s="33" t="s">
        <v>259</v>
      </c>
      <c r="E144" s="24">
        <f t="shared" si="18"/>
        <v>0</v>
      </c>
      <c r="F144" s="24"/>
      <c r="G144" s="24"/>
      <c r="H144" s="24"/>
      <c r="I144" s="15"/>
      <c r="J144" s="24">
        <f t="shared" si="17"/>
        <v>732000</v>
      </c>
      <c r="K144" s="24"/>
      <c r="L144" s="24"/>
      <c r="M144" s="24"/>
      <c r="N144" s="24">
        <f t="shared" si="25"/>
        <v>732000</v>
      </c>
      <c r="O144" s="24">
        <v>732000</v>
      </c>
      <c r="P144" s="14">
        <f t="shared" si="27"/>
        <v>732000</v>
      </c>
      <c r="Q144" s="19"/>
      <c r="R144" s="75">
        <f>P156-Q144</f>
        <v>45497303</v>
      </c>
      <c r="S144" s="19"/>
      <c r="U144" s="8">
        <f t="shared" si="26"/>
        <v>1400000</v>
      </c>
    </row>
    <row r="145" spans="1:21" s="64" customFormat="1" ht="120" customHeight="1">
      <c r="A145" s="7" t="s">
        <v>260</v>
      </c>
      <c r="B145" s="7" t="s">
        <v>261</v>
      </c>
      <c r="C145" s="7" t="s">
        <v>118</v>
      </c>
      <c r="D145" s="33" t="s">
        <v>262</v>
      </c>
      <c r="E145" s="24">
        <f t="shared" si="18"/>
        <v>1400000</v>
      </c>
      <c r="F145" s="24">
        <f>400000+1000000</f>
        <v>1400000</v>
      </c>
      <c r="G145" s="24"/>
      <c r="H145" s="24"/>
      <c r="I145" s="15"/>
      <c r="J145" s="24">
        <f t="shared" si="17"/>
        <v>0</v>
      </c>
      <c r="K145" s="24"/>
      <c r="L145" s="24"/>
      <c r="M145" s="24"/>
      <c r="N145" s="24"/>
      <c r="O145" s="24"/>
      <c r="P145" s="14">
        <f t="shared" si="27"/>
        <v>1400000</v>
      </c>
      <c r="Q145" s="116"/>
      <c r="R145" s="75" t="e">
        <f>#REF!-Q145</f>
        <v>#REF!</v>
      </c>
      <c r="S145" s="116"/>
      <c r="U145" s="8">
        <f t="shared" si="26"/>
        <v>95384</v>
      </c>
    </row>
    <row r="146" spans="1:21" ht="105">
      <c r="A146" s="7" t="s">
        <v>260</v>
      </c>
      <c r="B146" s="7" t="s">
        <v>261</v>
      </c>
      <c r="C146" s="7" t="s">
        <v>118</v>
      </c>
      <c r="D146" s="33" t="s">
        <v>262</v>
      </c>
      <c r="E146" s="24">
        <f t="shared" si="18"/>
        <v>23833</v>
      </c>
      <c r="F146" s="24">
        <v>23833</v>
      </c>
      <c r="G146" s="24"/>
      <c r="H146" s="24"/>
      <c r="I146" s="15"/>
      <c r="J146" s="24">
        <f>K146+N146</f>
        <v>71551</v>
      </c>
      <c r="K146" s="24"/>
      <c r="L146" s="24"/>
      <c r="M146" s="24"/>
      <c r="N146" s="24">
        <f>O146</f>
        <v>71551</v>
      </c>
      <c r="O146" s="24">
        <v>71551</v>
      </c>
      <c r="P146" s="14">
        <f t="shared" si="27"/>
        <v>95384</v>
      </c>
      <c r="Q146" s="47">
        <v>500000</v>
      </c>
      <c r="R146" s="75">
        <f>P157-Q146</f>
        <v>1500000</v>
      </c>
      <c r="S146" s="47"/>
      <c r="U146" s="8">
        <f t="shared" si="26"/>
        <v>195000</v>
      </c>
    </row>
    <row r="147" spans="1:21" ht="99" customHeight="1">
      <c r="A147" s="7" t="s">
        <v>260</v>
      </c>
      <c r="B147" s="7" t="s">
        <v>261</v>
      </c>
      <c r="C147" s="7" t="s">
        <v>118</v>
      </c>
      <c r="D147" s="33" t="s">
        <v>301</v>
      </c>
      <c r="E147" s="24">
        <f t="shared" si="18"/>
        <v>195000</v>
      </c>
      <c r="F147" s="24">
        <v>195000</v>
      </c>
      <c r="G147" s="24"/>
      <c r="H147" s="24"/>
      <c r="I147" s="15"/>
      <c r="J147" s="24">
        <f>K147+N147</f>
        <v>0</v>
      </c>
      <c r="K147" s="24"/>
      <c r="L147" s="24"/>
      <c r="M147" s="24"/>
      <c r="N147" s="24">
        <f>O147</f>
        <v>0</v>
      </c>
      <c r="O147" s="24"/>
      <c r="P147" s="14">
        <f t="shared" si="27"/>
        <v>195000</v>
      </c>
      <c r="Q147" s="47"/>
      <c r="R147" s="75">
        <f>P158-Q147</f>
        <v>2000000</v>
      </c>
      <c r="S147" s="47"/>
      <c r="U147" s="8">
        <f t="shared" si="26"/>
        <v>38900</v>
      </c>
    </row>
    <row r="148" spans="1:21" s="64" customFormat="1" ht="78.75">
      <c r="A148" s="7" t="s">
        <v>260</v>
      </c>
      <c r="B148" s="7" t="s">
        <v>261</v>
      </c>
      <c r="C148" s="7" t="s">
        <v>118</v>
      </c>
      <c r="D148" s="33" t="s">
        <v>263</v>
      </c>
      <c r="E148" s="24">
        <f t="shared" si="18"/>
        <v>38900</v>
      </c>
      <c r="F148" s="24">
        <v>38900</v>
      </c>
      <c r="G148" s="24"/>
      <c r="H148" s="24"/>
      <c r="I148" s="15"/>
      <c r="J148" s="24">
        <f t="shared" si="17"/>
        <v>0</v>
      </c>
      <c r="K148" s="24"/>
      <c r="L148" s="24"/>
      <c r="M148" s="24"/>
      <c r="N148" s="24"/>
      <c r="O148" s="24"/>
      <c r="P148" s="14">
        <f t="shared" si="27"/>
        <v>38900</v>
      </c>
      <c r="Q148" s="114"/>
      <c r="R148" s="75"/>
      <c r="S148" s="114"/>
      <c r="U148" s="8">
        <f t="shared" si="26"/>
        <v>13017000</v>
      </c>
    </row>
    <row r="149" spans="1:21" s="64" customFormat="1" ht="60" customHeight="1">
      <c r="A149" s="3">
        <v>7618390</v>
      </c>
      <c r="B149" s="87" t="s">
        <v>277</v>
      </c>
      <c r="C149" s="87" t="s">
        <v>118</v>
      </c>
      <c r="D149" s="88" t="s">
        <v>278</v>
      </c>
      <c r="E149" s="24">
        <f t="shared" si="18"/>
        <v>13017000</v>
      </c>
      <c r="F149" s="89">
        <v>13017000</v>
      </c>
      <c r="G149" s="89"/>
      <c r="H149" s="89"/>
      <c r="I149" s="146"/>
      <c r="J149" s="24">
        <f t="shared" si="17"/>
        <v>0</v>
      </c>
      <c r="K149" s="89"/>
      <c r="L149" s="90"/>
      <c r="M149" s="89"/>
      <c r="N149" s="89"/>
      <c r="O149" s="89"/>
      <c r="P149" s="14">
        <f t="shared" si="27"/>
        <v>13017000</v>
      </c>
      <c r="Q149" s="114"/>
      <c r="R149" s="75"/>
      <c r="S149" s="114"/>
      <c r="U149" s="77">
        <f t="shared" si="26"/>
        <v>0</v>
      </c>
    </row>
    <row r="150" spans="1:21" ht="69" customHeight="1" hidden="1">
      <c r="A150" s="3">
        <v>7618440</v>
      </c>
      <c r="B150" s="87">
        <v>8440</v>
      </c>
      <c r="C150" s="87" t="s">
        <v>118</v>
      </c>
      <c r="D150" s="147" t="s">
        <v>294</v>
      </c>
      <c r="E150" s="24">
        <f t="shared" si="18"/>
        <v>0</v>
      </c>
      <c r="F150" s="89"/>
      <c r="G150" s="89"/>
      <c r="H150" s="89"/>
      <c r="I150" s="146">
        <f>5000000-5000000</f>
        <v>0</v>
      </c>
      <c r="J150" s="24">
        <f t="shared" si="17"/>
        <v>0</v>
      </c>
      <c r="K150" s="89"/>
      <c r="L150" s="90"/>
      <c r="M150" s="89"/>
      <c r="N150" s="89">
        <f>20000000-20000000</f>
        <v>0</v>
      </c>
      <c r="O150" s="89"/>
      <c r="P150" s="14">
        <f t="shared" si="27"/>
        <v>0</v>
      </c>
      <c r="Q150" s="47"/>
      <c r="R150" s="75">
        <f>P159-Q150</f>
        <v>7507260125.93</v>
      </c>
      <c r="S150" s="47"/>
      <c r="U150" s="8">
        <f t="shared" si="26"/>
        <v>135973000</v>
      </c>
    </row>
    <row r="151" spans="1:21" ht="267" customHeight="1">
      <c r="A151" s="3">
        <v>7618500</v>
      </c>
      <c r="B151" s="87">
        <v>8500</v>
      </c>
      <c r="C151" s="87" t="s">
        <v>118</v>
      </c>
      <c r="D151" s="126" t="s">
        <v>295</v>
      </c>
      <c r="E151" s="24">
        <f t="shared" si="18"/>
        <v>40792000</v>
      </c>
      <c r="F151" s="89">
        <v>40792000</v>
      </c>
      <c r="G151" s="89"/>
      <c r="H151" s="89"/>
      <c r="I151" s="146"/>
      <c r="J151" s="24">
        <f t="shared" si="17"/>
        <v>95181000</v>
      </c>
      <c r="K151" s="89">
        <v>95181000</v>
      </c>
      <c r="L151" s="90"/>
      <c r="M151" s="89"/>
      <c r="N151" s="89"/>
      <c r="O151" s="89"/>
      <c r="P151" s="14">
        <f t="shared" si="27"/>
        <v>135973000</v>
      </c>
      <c r="Q151" s="47"/>
      <c r="R151" s="75" t="e">
        <f>#REF!-Q151</f>
        <v>#REF!</v>
      </c>
      <c r="S151" s="47"/>
      <c r="U151" s="8">
        <f t="shared" si="26"/>
        <v>8428333</v>
      </c>
    </row>
    <row r="152" spans="1:21" ht="243" customHeight="1">
      <c r="A152" s="7" t="s">
        <v>271</v>
      </c>
      <c r="B152" s="7">
        <v>8580</v>
      </c>
      <c r="C152" s="7" t="s">
        <v>118</v>
      </c>
      <c r="D152" s="33" t="s">
        <v>299</v>
      </c>
      <c r="E152" s="24">
        <f t="shared" si="18"/>
        <v>8428333</v>
      </c>
      <c r="F152" s="24"/>
      <c r="G152" s="24"/>
      <c r="H152" s="24"/>
      <c r="I152" s="148">
        <f>241898+8186435</f>
        <v>8428333</v>
      </c>
      <c r="J152" s="24">
        <f t="shared" si="17"/>
        <v>0</v>
      </c>
      <c r="K152" s="24"/>
      <c r="L152" s="24"/>
      <c r="M152" s="24"/>
      <c r="N152" s="24"/>
      <c r="O152" s="24"/>
      <c r="P152" s="14">
        <f t="shared" si="27"/>
        <v>8428333</v>
      </c>
      <c r="Q152" s="47"/>
      <c r="R152" s="75"/>
      <c r="S152" s="47"/>
      <c r="U152" s="8">
        <f t="shared" si="26"/>
        <v>3381300</v>
      </c>
    </row>
    <row r="153" spans="1:21" ht="57.75" customHeight="1">
      <c r="A153" s="7" t="s">
        <v>270</v>
      </c>
      <c r="B153" s="7">
        <v>8510</v>
      </c>
      <c r="C153" s="7" t="s">
        <v>118</v>
      </c>
      <c r="D153" s="33" t="s">
        <v>269</v>
      </c>
      <c r="E153" s="24">
        <f t="shared" si="18"/>
        <v>3381300</v>
      </c>
      <c r="F153" s="24">
        <f>125900+394400+2861000</f>
        <v>3381300</v>
      </c>
      <c r="G153" s="24"/>
      <c r="H153" s="24"/>
      <c r="I153" s="15"/>
      <c r="J153" s="24">
        <f t="shared" si="17"/>
        <v>0</v>
      </c>
      <c r="K153" s="24"/>
      <c r="L153" s="24"/>
      <c r="M153" s="24"/>
      <c r="N153" s="24"/>
      <c r="O153" s="24"/>
      <c r="P153" s="14">
        <f t="shared" si="27"/>
        <v>3381300</v>
      </c>
      <c r="Q153" s="47"/>
      <c r="R153" s="75" t="e">
        <f>#REF!-Q153</f>
        <v>#REF!</v>
      </c>
      <c r="S153" s="47"/>
      <c r="U153" s="8">
        <f t="shared" si="26"/>
        <v>5245500</v>
      </c>
    </row>
    <row r="154" spans="1:21" s="64" customFormat="1" ht="55.5" customHeight="1">
      <c r="A154" s="7" t="s">
        <v>285</v>
      </c>
      <c r="B154" s="7" t="s">
        <v>286</v>
      </c>
      <c r="C154" s="7" t="s">
        <v>118</v>
      </c>
      <c r="D154" s="33" t="s">
        <v>284</v>
      </c>
      <c r="E154" s="24">
        <f t="shared" si="18"/>
        <v>5245500</v>
      </c>
      <c r="F154" s="24">
        <f>5259700-14200</f>
        <v>5245500</v>
      </c>
      <c r="G154" s="24"/>
      <c r="H154" s="24"/>
      <c r="I154" s="15"/>
      <c r="J154" s="24">
        <f t="shared" si="17"/>
        <v>0</v>
      </c>
      <c r="K154" s="24"/>
      <c r="L154" s="24"/>
      <c r="M154" s="24"/>
      <c r="N154" s="24"/>
      <c r="O154" s="24"/>
      <c r="P154" s="14">
        <f t="shared" si="27"/>
        <v>5245500</v>
      </c>
      <c r="Q154" s="114"/>
      <c r="R154" s="75"/>
      <c r="S154" s="114"/>
      <c r="U154" s="77">
        <f t="shared" si="26"/>
        <v>23247600</v>
      </c>
    </row>
    <row r="155" spans="1:21" s="64" customFormat="1" ht="54" customHeight="1">
      <c r="A155" s="7" t="s">
        <v>303</v>
      </c>
      <c r="B155" s="7" t="s">
        <v>305</v>
      </c>
      <c r="C155" s="7" t="s">
        <v>118</v>
      </c>
      <c r="D155" s="33" t="s">
        <v>304</v>
      </c>
      <c r="E155" s="24">
        <f t="shared" si="18"/>
        <v>23247600</v>
      </c>
      <c r="F155" s="24">
        <f>16605400+6642200</f>
        <v>23247600</v>
      </c>
      <c r="G155" s="24"/>
      <c r="H155" s="24"/>
      <c r="I155" s="15"/>
      <c r="J155" s="24">
        <f t="shared" si="17"/>
        <v>0</v>
      </c>
      <c r="K155" s="24"/>
      <c r="L155" s="24"/>
      <c r="M155" s="24"/>
      <c r="N155" s="24"/>
      <c r="O155" s="24"/>
      <c r="P155" s="14">
        <f t="shared" si="27"/>
        <v>23247600</v>
      </c>
      <c r="Q155" s="114"/>
      <c r="R155" s="75"/>
      <c r="S155" s="114"/>
      <c r="T155" s="64">
        <v>26711489</v>
      </c>
      <c r="U155" s="77">
        <f t="shared" si="26"/>
        <v>18785814</v>
      </c>
    </row>
    <row r="156" spans="1:21" ht="12.75">
      <c r="A156" s="7" t="s">
        <v>207</v>
      </c>
      <c r="B156" s="17" t="s">
        <v>208</v>
      </c>
      <c r="C156" s="17" t="s">
        <v>118</v>
      </c>
      <c r="D156" s="32" t="s">
        <v>29</v>
      </c>
      <c r="E156" s="24">
        <f t="shared" si="18"/>
        <v>5385552</v>
      </c>
      <c r="F156" s="40">
        <f>2385552+1000000+2000000</f>
        <v>5385552</v>
      </c>
      <c r="G156" s="40"/>
      <c r="H156" s="36"/>
      <c r="I156" s="14"/>
      <c r="J156" s="24">
        <f t="shared" si="17"/>
        <v>40111751</v>
      </c>
      <c r="K156" s="40"/>
      <c r="L156" s="40"/>
      <c r="M156" s="36"/>
      <c r="N156" s="40">
        <f>O156</f>
        <v>40111751</v>
      </c>
      <c r="O156" s="40">
        <f>500000+600000+1500000+810000+1427750+960419+1250500+1320272+1419588+1282120+817800+2000000+2000000+500000+1147040+1300000+4000000+800000+900000+400000+300000+1000000+476000+12539330+177800+630500+52632</f>
        <v>40111751</v>
      </c>
      <c r="P156" s="14">
        <f t="shared" si="27"/>
        <v>45497303</v>
      </c>
      <c r="Q156" s="47"/>
      <c r="R156" s="47"/>
      <c r="S156" s="47"/>
      <c r="U156" s="8">
        <f t="shared" si="26"/>
        <v>2000000</v>
      </c>
    </row>
    <row r="157" spans="1:21" ht="12.75">
      <c r="A157" s="4" t="s">
        <v>38</v>
      </c>
      <c r="B157" s="4"/>
      <c r="C157" s="4"/>
      <c r="D157" s="34" t="s">
        <v>30</v>
      </c>
      <c r="E157" s="24">
        <f t="shared" si="18"/>
        <v>2000000</v>
      </c>
      <c r="F157" s="36">
        <f>F158</f>
        <v>2000000</v>
      </c>
      <c r="G157" s="36">
        <f>G158</f>
        <v>0</v>
      </c>
      <c r="H157" s="36">
        <f>H158</f>
        <v>0</v>
      </c>
      <c r="I157" s="36">
        <f>I158</f>
        <v>0</v>
      </c>
      <c r="J157" s="24">
        <f t="shared" si="17"/>
        <v>0</v>
      </c>
      <c r="K157" s="36">
        <f>K158</f>
        <v>0</v>
      </c>
      <c r="L157" s="36">
        <f>L158</f>
        <v>0</v>
      </c>
      <c r="M157" s="36">
        <f>M158</f>
        <v>0</v>
      </c>
      <c r="N157" s="36">
        <f>N158</f>
        <v>0</v>
      </c>
      <c r="O157" s="36">
        <f>O158</f>
        <v>0</v>
      </c>
      <c r="P157" s="14">
        <f t="shared" si="27"/>
        <v>2000000</v>
      </c>
      <c r="Q157" s="47"/>
      <c r="R157" s="47"/>
      <c r="S157" s="47"/>
      <c r="U157" s="8">
        <f t="shared" si="26"/>
        <v>2000000</v>
      </c>
    </row>
    <row r="158" spans="1:21" ht="12.75">
      <c r="A158" s="4" t="s">
        <v>125</v>
      </c>
      <c r="B158" s="7" t="s">
        <v>126</v>
      </c>
      <c r="C158" s="7" t="s">
        <v>117</v>
      </c>
      <c r="D158" s="33" t="s">
        <v>225</v>
      </c>
      <c r="E158" s="24">
        <f t="shared" si="18"/>
        <v>2000000</v>
      </c>
      <c r="F158" s="24">
        <f>500000+1500000</f>
        <v>2000000</v>
      </c>
      <c r="G158" s="24"/>
      <c r="H158" s="24"/>
      <c r="I158" s="15"/>
      <c r="J158" s="24">
        <f t="shared" si="17"/>
        <v>0</v>
      </c>
      <c r="K158" s="24"/>
      <c r="L158" s="24"/>
      <c r="M158" s="24"/>
      <c r="N158" s="24">
        <v>0</v>
      </c>
      <c r="O158" s="24">
        <v>0</v>
      </c>
      <c r="P158" s="91">
        <f>E158+J158</f>
        <v>2000000</v>
      </c>
      <c r="T158" s="1">
        <v>6702451100.93</v>
      </c>
      <c r="U158" s="8">
        <f t="shared" si="26"/>
        <v>804809025</v>
      </c>
    </row>
    <row r="159" spans="1:16" ht="20.25" customHeight="1">
      <c r="A159" s="4"/>
      <c r="B159" s="4"/>
      <c r="C159" s="4"/>
      <c r="D159" s="34" t="s">
        <v>37</v>
      </c>
      <c r="E159" s="80">
        <f aca="true" t="shared" si="28" ref="E159:P159">E14+E19+E22+E41+E64+E74+E99+E104+E118+E122+E132+E114+E127</f>
        <v>6662624761.5</v>
      </c>
      <c r="F159" s="80">
        <f t="shared" si="28"/>
        <v>6650007428.5</v>
      </c>
      <c r="G159" s="80">
        <f t="shared" si="28"/>
        <v>429383171</v>
      </c>
      <c r="H159" s="80">
        <f t="shared" si="28"/>
        <v>60536150</v>
      </c>
      <c r="I159" s="80">
        <f t="shared" si="28"/>
        <v>12617333</v>
      </c>
      <c r="J159" s="80">
        <f t="shared" si="28"/>
        <v>844635364.4300001</v>
      </c>
      <c r="K159" s="80">
        <f t="shared" si="28"/>
        <v>609041110</v>
      </c>
      <c r="L159" s="80">
        <f t="shared" si="28"/>
        <v>24450853</v>
      </c>
      <c r="M159" s="80">
        <f t="shared" si="28"/>
        <v>4026703</v>
      </c>
      <c r="N159" s="80">
        <f t="shared" si="28"/>
        <v>235594254.43</v>
      </c>
      <c r="O159" s="80">
        <f t="shared" si="28"/>
        <v>175032076.43</v>
      </c>
      <c r="P159" s="120">
        <f t="shared" si="28"/>
        <v>7507260125.93</v>
      </c>
    </row>
    <row r="160" spans="5:16" ht="12.75" hidden="1">
      <c r="E160" s="37">
        <v>6662527081.5</v>
      </c>
      <c r="F160" s="37">
        <v>6644909748.5</v>
      </c>
      <c r="G160" s="37">
        <v>429383171</v>
      </c>
      <c r="H160" s="37">
        <v>60536150</v>
      </c>
      <c r="I160" s="6">
        <v>17617333</v>
      </c>
      <c r="J160" s="37">
        <v>863347512.4300001</v>
      </c>
      <c r="K160" s="37">
        <v>609041110</v>
      </c>
      <c r="L160" s="37">
        <v>24450853</v>
      </c>
      <c r="M160" s="37">
        <v>4026703</v>
      </c>
      <c r="N160" s="37">
        <v>254306402.43</v>
      </c>
      <c r="O160" s="118">
        <v>173819224.43</v>
      </c>
      <c r="P160" s="6">
        <v>7525874593.93</v>
      </c>
    </row>
    <row r="161" spans="5:16" ht="12.75" hidden="1">
      <c r="E161" s="117">
        <f aca="true" t="shared" si="29" ref="E161:J161">E159-E160</f>
        <v>97680</v>
      </c>
      <c r="F161" s="117">
        <f t="shared" si="29"/>
        <v>5097680</v>
      </c>
      <c r="G161" s="117">
        <f t="shared" si="29"/>
        <v>0</v>
      </c>
      <c r="H161" s="117">
        <f t="shared" si="29"/>
        <v>0</v>
      </c>
      <c r="I161" s="117">
        <f t="shared" si="29"/>
        <v>-5000000</v>
      </c>
      <c r="J161" s="117">
        <f t="shared" si="29"/>
        <v>-18712148</v>
      </c>
      <c r="O161" s="117">
        <f>O159-O160</f>
        <v>1212852</v>
      </c>
      <c r="P161" s="19">
        <f>P159-P160</f>
        <v>-18614468</v>
      </c>
    </row>
    <row r="162" ht="12.75" hidden="1"/>
    <row r="163" ht="12.75" hidden="1">
      <c r="O163" s="118">
        <v>175032076.43</v>
      </c>
    </row>
    <row r="164" spans="4:16" ht="12.75" hidden="1">
      <c r="D164" s="109" t="s">
        <v>287</v>
      </c>
      <c r="E164" s="47">
        <f>'[3]дод 1 04.09'!$D$87</f>
        <v>6692277349.25</v>
      </c>
      <c r="F164" s="47"/>
      <c r="G164" s="47"/>
      <c r="H164" s="47"/>
      <c r="I164" s="47"/>
      <c r="J164" s="47">
        <f>'[3]дод 1 04.09'!$E$87</f>
        <v>665841644.6800001</v>
      </c>
      <c r="K164" s="47"/>
      <c r="L164" s="47"/>
      <c r="M164" s="47"/>
      <c r="N164" s="47"/>
      <c r="O164" s="47"/>
      <c r="P164" s="5">
        <f>E164+J164</f>
        <v>7358118993.93</v>
      </c>
    </row>
    <row r="165" spans="4:16" ht="12.75" hidden="1">
      <c r="D165" s="109" t="s">
        <v>288</v>
      </c>
      <c r="E165" s="47">
        <f>'[2]dod4'!$D$12</f>
        <v>83801490</v>
      </c>
      <c r="F165" s="47"/>
      <c r="G165" s="47"/>
      <c r="H165" s="47"/>
      <c r="I165" s="47"/>
      <c r="J165" s="47">
        <f>'[2]dod4'!$E$11</f>
        <v>67369998</v>
      </c>
      <c r="K165" s="47"/>
      <c r="L165" s="47"/>
      <c r="M165" s="47"/>
      <c r="N165" s="47"/>
      <c r="O165" s="47"/>
      <c r="P165" s="5">
        <f>E165+J165</f>
        <v>151171488</v>
      </c>
    </row>
    <row r="166" spans="4:16" ht="12.75" hidden="1">
      <c r="D166" s="109" t="s">
        <v>289</v>
      </c>
      <c r="E166" s="47">
        <f>'[1]dod5'!$M$21</f>
        <v>1770000</v>
      </c>
      <c r="F166" s="47"/>
      <c r="G166" s="47"/>
      <c r="H166" s="47"/>
      <c r="I166" s="47"/>
      <c r="J166" s="47">
        <f>'[1]dod5'!$N$21</f>
        <v>260356</v>
      </c>
      <c r="K166" s="47"/>
      <c r="L166" s="47"/>
      <c r="M166" s="47"/>
      <c r="N166" s="47"/>
      <c r="O166" s="47"/>
      <c r="P166" s="5">
        <f>E166+J166</f>
        <v>2030356</v>
      </c>
    </row>
    <row r="167" spans="1:19" s="112" customFormat="1" ht="23.25" customHeight="1" hidden="1">
      <c r="A167" s="6"/>
      <c r="B167" s="6"/>
      <c r="C167" s="6"/>
      <c r="D167" s="109" t="s">
        <v>290</v>
      </c>
      <c r="E167" s="47">
        <f>'[2]dod4'!$D$13</f>
        <v>-111684077.75</v>
      </c>
      <c r="F167" s="47"/>
      <c r="G167" s="47"/>
      <c r="H167" s="47"/>
      <c r="I167" s="47"/>
      <c r="J167" s="47">
        <f>'[2]dod4'!$E$13</f>
        <v>111684077.75</v>
      </c>
      <c r="K167" s="47"/>
      <c r="L167" s="47"/>
      <c r="M167" s="47"/>
      <c r="N167" s="47"/>
      <c r="O167" s="47"/>
      <c r="P167" s="5">
        <f>E167+J167</f>
        <v>0</v>
      </c>
      <c r="Q167" s="9"/>
      <c r="R167" s="9"/>
      <c r="S167" s="9"/>
    </row>
    <row r="168" spans="4:16" ht="12.75" hidden="1">
      <c r="D168" s="109" t="s">
        <v>291</v>
      </c>
      <c r="E168" s="47">
        <f>E159</f>
        <v>6662624761.5</v>
      </c>
      <c r="F168" s="47"/>
      <c r="G168" s="47"/>
      <c r="H168" s="47"/>
      <c r="I168" s="47"/>
      <c r="J168" s="47">
        <f>J159</f>
        <v>844635364.4300001</v>
      </c>
      <c r="K168" s="47"/>
      <c r="L168" s="47"/>
      <c r="M168" s="47"/>
      <c r="N168" s="47"/>
      <c r="O168" s="47"/>
      <c r="P168" s="5">
        <f>E168+J168</f>
        <v>7507260125.93</v>
      </c>
    </row>
    <row r="169" spans="1:16" ht="12.75" hidden="1">
      <c r="A169" s="9"/>
      <c r="B169" s="9"/>
      <c r="C169" s="9"/>
      <c r="D169" s="110" t="s">
        <v>292</v>
      </c>
      <c r="E169" s="119">
        <f>(E164+E165)-E166+E167-E168</f>
        <v>0</v>
      </c>
      <c r="F169" s="111">
        <f aca="true" t="shared" si="30" ref="F169:P169">(F164+F165)-F166+F167-F168</f>
        <v>0</v>
      </c>
      <c r="G169" s="111">
        <f t="shared" si="30"/>
        <v>0</v>
      </c>
      <c r="H169" s="111">
        <f t="shared" si="30"/>
        <v>0</v>
      </c>
      <c r="I169" s="111">
        <f t="shared" si="30"/>
        <v>0</v>
      </c>
      <c r="J169" s="119">
        <f t="shared" si="30"/>
        <v>0</v>
      </c>
      <c r="K169" s="111">
        <f t="shared" si="30"/>
        <v>0</v>
      </c>
      <c r="L169" s="111">
        <f t="shared" si="30"/>
        <v>0</v>
      </c>
      <c r="M169" s="111">
        <f t="shared" si="30"/>
        <v>0</v>
      </c>
      <c r="N169" s="111">
        <f t="shared" si="30"/>
        <v>0</v>
      </c>
      <c r="O169" s="111">
        <f t="shared" si="30"/>
        <v>0</v>
      </c>
      <c r="P169" s="8">
        <f t="shared" si="30"/>
        <v>0</v>
      </c>
    </row>
    <row r="170" ht="12.75" hidden="1"/>
    <row r="171" ht="12.75" hidden="1"/>
  </sheetData>
  <sheetProtection/>
  <autoFilter ref="B14:B159"/>
  <mergeCells count="25">
    <mergeCell ref="C9:C12"/>
    <mergeCell ref="E10:E12"/>
    <mergeCell ref="A7:P7"/>
    <mergeCell ref="A9:A12"/>
    <mergeCell ref="E9:H9"/>
    <mergeCell ref="J9:O9"/>
    <mergeCell ref="N10:N12"/>
    <mergeCell ref="G11:G12"/>
    <mergeCell ref="P9:P12"/>
    <mergeCell ref="D9:D11"/>
    <mergeCell ref="B9:B12"/>
    <mergeCell ref="F10:F12"/>
    <mergeCell ref="O11:O12"/>
    <mergeCell ref="G10:H10"/>
    <mergeCell ref="J10:J12"/>
    <mergeCell ref="K10:K12"/>
    <mergeCell ref="L10:M10"/>
    <mergeCell ref="H11:H12"/>
    <mergeCell ref="L11:L12"/>
    <mergeCell ref="M11:M12"/>
    <mergeCell ref="I10:I12"/>
    <mergeCell ref="M2:P2"/>
    <mergeCell ref="M3:P3"/>
    <mergeCell ref="M4:P4"/>
    <mergeCell ref="M5:P5"/>
  </mergeCells>
  <printOptions horizontalCentered="1"/>
  <pageMargins left="0.1968503937007874" right="0" top="0.5905511811023623" bottom="0.1968503937007874" header="0" footer="0.1968503937007874"/>
  <pageSetup fitToHeight="11" fitToWidth="1" horizontalDpi="600" verticalDpi="600" orientation="landscape" paperSize="9" scale="61" r:id="rId1"/>
  <headerFooter alignWithMargins="0">
    <oddFooter>&amp;R&amp;P</oddFooter>
  </headerFooter>
  <rowBreaks count="1" manualBreakCount="1">
    <brk id="131"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8" sqref="E2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Ричина Наталія Михайлівна</dc:creator>
  <cp:keywords/>
  <dc:description/>
  <cp:lastModifiedBy>22gfu2103</cp:lastModifiedBy>
  <cp:lastPrinted>2017-09-25T14:50:44Z</cp:lastPrinted>
  <dcterms:created xsi:type="dcterms:W3CDTF">2010-12-22T14:43:06Z</dcterms:created>
  <dcterms:modified xsi:type="dcterms:W3CDTF">2017-09-26T06:59:42Z</dcterms:modified>
  <cp:category/>
  <cp:version/>
  <cp:contentType/>
  <cp:contentStatus/>
</cp:coreProperties>
</file>