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8_{82FA542C-57AB-47B6-88B2-51B71EF65268}" xr6:coauthVersionLast="34" xr6:coauthVersionMax="34" xr10:uidLastSave="{00000000-0000-0000-0000-000000000000}"/>
  <bookViews>
    <workbookView xWindow="0" yWindow="0" windowWidth="27630" windowHeight="12810" tabRatio="945"/>
  </bookViews>
  <sheets>
    <sheet name="дод 3" sheetId="9" r:id="rId1"/>
  </sheets>
  <definedNames>
    <definedName name="_xlnm._FilterDatabase" localSheetId="0" hidden="1">'дод 3'!$B$13:$B$201</definedName>
    <definedName name="Z_262A3912_DD70_4B2A_8782_11241825DD41_.wvu.FilterData" localSheetId="0" hidden="1">'дод 3'!#REF!</definedName>
    <definedName name="Z_262A3912_DD70_4B2A_8782_11241825DD41_.wvu.PrintArea" localSheetId="0" hidden="1">'дод 3'!$B$1:$P$201</definedName>
    <definedName name="Z_262A3912_DD70_4B2A_8782_11241825DD41_.wvu.PrintTitles" localSheetId="0" hidden="1">'дод 3'!$8:$12</definedName>
    <definedName name="Z_55DE217F_7BCE_4030_A378_BBDB19AA32BC_.wvu.FilterData" localSheetId="0" hidden="1">'дод 3'!#REF!</definedName>
    <definedName name="Z_55DE217F_7BCE_4030_A378_BBDB19AA32BC_.wvu.PrintArea" localSheetId="0" hidden="1">'дод 3'!$B$1:$P$201</definedName>
    <definedName name="Z_55DE217F_7BCE_4030_A378_BBDB19AA32BC_.wvu.PrintTitles" localSheetId="0" hidden="1">'дод 3'!$8:$12</definedName>
    <definedName name="Z_8C514651_C019_48EB_BC9A_5CF7A7C062C3_.wvu.FilterData" localSheetId="0" hidden="1">'дод 3'!#REF!</definedName>
    <definedName name="Z_8C514651_C019_48EB_BC9A_5CF7A7C062C3_.wvu.PrintArea" localSheetId="0" hidden="1">'дод 3'!$B$1:$P$201</definedName>
    <definedName name="Z_8C514651_C019_48EB_BC9A_5CF7A7C062C3_.wvu.PrintTitles" localSheetId="0" hidden="1">'дод 3'!$8:$12</definedName>
    <definedName name="Z_A2EE22D5_0D01_4651_974A_DBB0B47E334C_.wvu.FilterData" localSheetId="0" hidden="1">'дод 3'!#REF!</definedName>
    <definedName name="Z_A2EE22D5_0D01_4651_974A_DBB0B47E334C_.wvu.PrintArea" localSheetId="0" hidden="1">'дод 3'!$B$1:$P$201</definedName>
    <definedName name="Z_A2EE22D5_0D01_4651_974A_DBB0B47E334C_.wvu.PrintTitles" localSheetId="0" hidden="1">'дод 3'!$8:$12</definedName>
    <definedName name="Z_B9ABD3DA_D8E6_4359_B122_CA96965080C7_.wvu.FilterData" localSheetId="0" hidden="1">'дод 3'!#REF!</definedName>
    <definedName name="Z_B9ABD3DA_D8E6_4359_B122_CA96965080C7_.wvu.PrintArea" localSheetId="0" hidden="1">'дод 3'!$B$1:$P$201</definedName>
    <definedName name="Z_B9ABD3DA_D8E6_4359_B122_CA96965080C7_.wvu.PrintTitles" localSheetId="0" hidden="1">'дод 3'!$8:$12</definedName>
    <definedName name="Z_CEC3A13C_C991_47CB_8169_8518E6DF0FD0_.wvu.FilterData" localSheetId="0" hidden="1">'дод 3'!#REF!</definedName>
    <definedName name="Z_CEC3A13C_C991_47CB_8169_8518E6DF0FD0_.wvu.PrintArea" localSheetId="0" hidden="1">'дод 3'!$B$1:$P$201</definedName>
    <definedName name="Z_CEC3A13C_C991_47CB_8169_8518E6DF0FD0_.wvu.PrintTitles" localSheetId="0" hidden="1">'дод 3'!$8:$12</definedName>
    <definedName name="Z_D73D0E9B_2717_48D0_8E2C_FF64265ACAB1_.wvu.FilterData" localSheetId="0" hidden="1">'дод 3'!#REF!</definedName>
    <definedName name="Z_D73D0E9B_2717_48D0_8E2C_FF64265ACAB1_.wvu.PrintArea" localSheetId="0" hidden="1">'дод 3'!$B$1:$P$201</definedName>
    <definedName name="Z_D73D0E9B_2717_48D0_8E2C_FF64265ACAB1_.wvu.PrintTitles" localSheetId="0" hidden="1">'дод 3'!$8:$12</definedName>
    <definedName name="Z_EBAA2E10_33D1_4ABA_B856_04E6905A93CB_.wvu.FilterData" localSheetId="0" hidden="1">'дод 3'!#REF!</definedName>
    <definedName name="Z_EBAA2E10_33D1_4ABA_B856_04E6905A93CB_.wvu.PrintArea" localSheetId="0" hidden="1">'дод 3'!$B$1:$P$201</definedName>
    <definedName name="Z_EBAA2E10_33D1_4ABA_B856_04E6905A93CB_.wvu.PrintTitles" localSheetId="0" hidden="1">'дод 3'!$8:$12</definedName>
    <definedName name="_xlnm.Print_Titles" localSheetId="0">'дод 3'!$8:$12</definedName>
    <definedName name="_xlnm.Print_Area" localSheetId="0">'дод 3'!$A$1:$P$201</definedName>
  </definedNames>
  <calcPr calcId="162913" fullCalcOnLoad="1"/>
  <customWorkbookViews>
    <customWorkbookView name="gvm03 - Личное представление" guid="{B9ABD3DA-D8E6-4359-B122-CA96965080C7}" mergeInterval="0" personalView="1" maximized="1" windowWidth="1916" windowHeight="847" tabRatio="945" activeSheetId="7"/>
    <customWorkbookView name="ozom03 - Личное представление" guid="{262A3912-DD70-4B2A-8782-11241825DD41}" mergeInterval="0" personalView="1" maximized="1" windowWidth="1276" windowHeight="848" tabRatio="945" activeSheetId="7"/>
    <customWorkbookView name="jom03 - Личное представление" guid="{EBAA2E10-33D1-4ABA-B856-04E6905A93CB}" mergeInterval="0" personalView="1" maximized="1" windowWidth="1276" windowHeight="800" tabRatio="945" activeSheetId="7"/>
    <customWorkbookView name="iov03 - Личное представление" guid="{55DE217F-7BCE-4030-A378-BBDB19AA32BC}" mergeInterval="0" personalView="1" maximized="1" windowWidth="1276" windowHeight="852" tabRatio="945" activeSheetId="7"/>
    <customWorkbookView name="dsm03 - Личное представление" guid="{D73D0E9B-2717-48D0-8E2C-FF64265ACAB1}" mergeInterval="0" personalView="1" maximized="1" windowWidth="1020" windowHeight="596" tabRatio="945" activeSheetId="6"/>
    <customWorkbookView name="dsv03 - Личное представление" guid="{04AA40B6-9CCF-468B-B9E0-3925FF26B598}" mergeInterval="0" personalView="1" maximized="1" windowWidth="1276" windowHeight="852" tabRatio="945" activeSheetId="7"/>
    <customWorkbookView name="vom03 - Личное представление" guid="{CEC3A13C-C991-47CB-8169-8518E6DF0FD0}" mergeInterval="0" personalView="1" maximized="1" windowWidth="1276" windowHeight="826" tabRatio="945" activeSheetId="7"/>
    <customWorkbookView name="admin - Личное представление" guid="{A2EE22D5-0D01-4651-974A-DBB0B47E334C}" mergeInterval="0" personalView="1" maximized="1" windowWidth="1916" windowHeight="900" tabRatio="945" activeSheetId="7"/>
    <customWorkbookView name="kmv03 - Личное представление" guid="{8C514651-C019-48EB-BC9A-5CF7A7C062C3}" mergeInterval="0" personalView="1" maximized="1" windowWidth="1276" windowHeight="825" tabRatio="945" activeSheetId="7"/>
    <customWorkbookView name="pmv03 - Личное представление" guid="{2C8A675D-81DA-4092-B0A7-BDDA097E8064}" mergeInterval="0" personalView="1" maximized="1" windowWidth="1020" windowHeight="570" tabRatio="945" activeSheetId="7"/>
  </customWorkbookViews>
</workbook>
</file>

<file path=xl/calcChain.xml><?xml version="1.0" encoding="utf-8"?>
<calcChain xmlns="http://schemas.openxmlformats.org/spreadsheetml/2006/main">
  <c r="O32" i="9" l="1"/>
  <c r="O50" i="9"/>
  <c r="N50" i="9" s="1"/>
  <c r="J50" i="9" s="1"/>
  <c r="P50" i="9" s="1"/>
  <c r="F32" i="9"/>
  <c r="F35" i="9"/>
  <c r="O35" i="9"/>
  <c r="F29" i="9"/>
  <c r="E29" i="9" s="1"/>
  <c r="N32" i="9"/>
  <c r="J32" i="9"/>
  <c r="E32" i="9"/>
  <c r="P32" i="9"/>
  <c r="Z32" i="9" s="1"/>
  <c r="N35" i="9"/>
  <c r="J35" i="9" s="1"/>
  <c r="E35" i="9"/>
  <c r="P35" i="9" s="1"/>
  <c r="Z35" i="9" s="1"/>
  <c r="O27" i="9"/>
  <c r="N27" i="9" s="1"/>
  <c r="F27" i="9"/>
  <c r="H35" i="9"/>
  <c r="F34" i="9"/>
  <c r="F33" i="9"/>
  <c r="G32" i="9"/>
  <c r="O31" i="9"/>
  <c r="F31" i="9"/>
  <c r="H31" i="9"/>
  <c r="O30" i="9"/>
  <c r="N30" i="9" s="1"/>
  <c r="H30" i="9"/>
  <c r="F30" i="9"/>
  <c r="O29" i="9"/>
  <c r="H29" i="9"/>
  <c r="G29" i="9"/>
  <c r="H28" i="9"/>
  <c r="F28" i="9"/>
  <c r="F50" i="9"/>
  <c r="F49" i="9"/>
  <c r="O49" i="9"/>
  <c r="F61" i="9"/>
  <c r="Y153" i="9"/>
  <c r="Y48" i="9"/>
  <c r="O57" i="9"/>
  <c r="O51" i="9"/>
  <c r="F60" i="9"/>
  <c r="F59" i="9" s="1"/>
  <c r="F57" i="9"/>
  <c r="F51" i="9"/>
  <c r="H62" i="9"/>
  <c r="G62" i="9"/>
  <c r="F62" i="9"/>
  <c r="F52" i="9"/>
  <c r="F188" i="9"/>
  <c r="O60" i="9"/>
  <c r="F55" i="9"/>
  <c r="F48" i="9"/>
  <c r="F54" i="9"/>
  <c r="F179" i="9"/>
  <c r="H32" i="9"/>
  <c r="F177" i="9"/>
  <c r="F185" i="9"/>
  <c r="O167" i="9"/>
  <c r="O133" i="9"/>
  <c r="O59" i="9"/>
  <c r="O15" i="9"/>
  <c r="O16" i="9"/>
  <c r="O19" i="9"/>
  <c r="O23" i="9"/>
  <c r="O22" i="9"/>
  <c r="O37" i="9"/>
  <c r="O36" i="9"/>
  <c r="O39" i="9"/>
  <c r="O45" i="9"/>
  <c r="O43" i="9"/>
  <c r="O64" i="9"/>
  <c r="O63" i="9" s="1"/>
  <c r="O67" i="9"/>
  <c r="N67" i="9" s="1"/>
  <c r="O66" i="9"/>
  <c r="O65" i="9"/>
  <c r="O73" i="9"/>
  <c r="O74" i="9"/>
  <c r="O75" i="9"/>
  <c r="O78" i="9"/>
  <c r="O83" i="9"/>
  <c r="O85" i="9"/>
  <c r="O87" i="9"/>
  <c r="O89" i="9"/>
  <c r="O91" i="9"/>
  <c r="O94" i="9"/>
  <c r="O100" i="9"/>
  <c r="O101" i="9"/>
  <c r="O103" i="9"/>
  <c r="O107" i="9"/>
  <c r="O106" i="9" s="1"/>
  <c r="O115" i="9"/>
  <c r="O116" i="9"/>
  <c r="O117" i="9"/>
  <c r="O118" i="9"/>
  <c r="O119" i="9"/>
  <c r="O122" i="9"/>
  <c r="O124" i="9"/>
  <c r="O126" i="9"/>
  <c r="O125" i="9"/>
  <c r="O129" i="9"/>
  <c r="O132" i="9"/>
  <c r="O137" i="9"/>
  <c r="O136" i="9" s="1"/>
  <c r="O143" i="9"/>
  <c r="O141" i="9" s="1"/>
  <c r="O140" i="9" s="1"/>
  <c r="O149" i="9"/>
  <c r="O148" i="9"/>
  <c r="O154" i="9"/>
  <c r="O160" i="9"/>
  <c r="O156" i="9" s="1"/>
  <c r="O177" i="9"/>
  <c r="O188" i="9"/>
  <c r="O185" i="9"/>
  <c r="O180" i="9"/>
  <c r="O170" i="9"/>
  <c r="N170" i="9" s="1"/>
  <c r="J170" i="9" s="1"/>
  <c r="P170" i="9" s="1"/>
  <c r="O173" i="9"/>
  <c r="O182" i="9"/>
  <c r="O199" i="9"/>
  <c r="F15" i="9"/>
  <c r="F17" i="9"/>
  <c r="F16" i="9"/>
  <c r="E16" i="9" s="1"/>
  <c r="P16" i="9" s="1"/>
  <c r="F18" i="9"/>
  <c r="F20" i="9"/>
  <c r="F19" i="9" s="1"/>
  <c r="I16" i="9"/>
  <c r="I19" i="9"/>
  <c r="I14" i="9"/>
  <c r="I13" i="9" s="1"/>
  <c r="F24" i="9"/>
  <c r="F23" i="9"/>
  <c r="F22" i="9" s="1"/>
  <c r="I23" i="9"/>
  <c r="I22" i="9" s="1"/>
  <c r="E22" i="9" s="1"/>
  <c r="F37" i="9"/>
  <c r="F36" i="9"/>
  <c r="F40" i="9"/>
  <c r="F41" i="9"/>
  <c r="F39" i="9" s="1"/>
  <c r="F26" i="9" s="1"/>
  <c r="F44" i="9"/>
  <c r="F42" i="9"/>
  <c r="I36" i="9"/>
  <c r="I39" i="9"/>
  <c r="I44" i="9"/>
  <c r="I42" i="9"/>
  <c r="I26" i="9"/>
  <c r="I25" i="9" s="1"/>
  <c r="F53" i="9"/>
  <c r="F56" i="9"/>
  <c r="F58" i="9"/>
  <c r="F63" i="9"/>
  <c r="F65" i="9"/>
  <c r="F47" i="9"/>
  <c r="F46" i="9" s="1"/>
  <c r="I59" i="9"/>
  <c r="I63" i="9"/>
  <c r="I65" i="9"/>
  <c r="I47" i="9" s="1"/>
  <c r="I46" i="9"/>
  <c r="F73" i="9"/>
  <c r="F74" i="9"/>
  <c r="F72" i="9"/>
  <c r="F75" i="9"/>
  <c r="F80" i="9"/>
  <c r="F78" i="9" s="1"/>
  <c r="F70" i="9"/>
  <c r="F69" i="9" s="1"/>
  <c r="I72" i="9"/>
  <c r="I71" i="9" s="1"/>
  <c r="I75" i="9"/>
  <c r="I78" i="9"/>
  <c r="I70" i="9"/>
  <c r="I69" i="9" s="1"/>
  <c r="F84" i="9"/>
  <c r="F83" i="9"/>
  <c r="F86" i="9"/>
  <c r="F85" i="9"/>
  <c r="F88" i="9"/>
  <c r="F87" i="9"/>
  <c r="F90" i="9"/>
  <c r="F89" i="9"/>
  <c r="F91" i="9"/>
  <c r="F95" i="9"/>
  <c r="F96" i="9"/>
  <c r="F94" i="9"/>
  <c r="F97" i="9"/>
  <c r="F102" i="9"/>
  <c r="F101" i="9" s="1"/>
  <c r="F103" i="9"/>
  <c r="I83" i="9"/>
  <c r="I85" i="9"/>
  <c r="I87" i="9"/>
  <c r="I89" i="9"/>
  <c r="I91" i="9"/>
  <c r="I94" i="9"/>
  <c r="I97" i="9"/>
  <c r="I101" i="9"/>
  <c r="I103" i="9"/>
  <c r="I82" i="9"/>
  <c r="I81" i="9" s="1"/>
  <c r="F109" i="9"/>
  <c r="F107" i="9"/>
  <c r="F106" i="9" s="1"/>
  <c r="I107" i="9"/>
  <c r="I106" i="9" s="1"/>
  <c r="E106" i="9"/>
  <c r="F116" i="9"/>
  <c r="F120" i="9"/>
  <c r="F119" i="9" s="1"/>
  <c r="F112" i="9" s="1"/>
  <c r="F111" i="9" s="1"/>
  <c r="F122" i="9"/>
  <c r="F125" i="9"/>
  <c r="I119" i="9"/>
  <c r="I122" i="9"/>
  <c r="I125" i="9"/>
  <c r="I112" i="9" s="1"/>
  <c r="I111" i="9" s="1"/>
  <c r="F133" i="9"/>
  <c r="F129" i="9"/>
  <c r="F131" i="9"/>
  <c r="E131" i="9" s="1"/>
  <c r="I133" i="9"/>
  <c r="I129" i="9"/>
  <c r="I131" i="9"/>
  <c r="I128" i="9"/>
  <c r="I127" i="9" s="1"/>
  <c r="F137" i="9"/>
  <c r="F136" i="9"/>
  <c r="I137" i="9"/>
  <c r="I136" i="9"/>
  <c r="F143" i="9"/>
  <c r="F141" i="9" s="1"/>
  <c r="F140" i="9"/>
  <c r="I143" i="9"/>
  <c r="I141" i="9"/>
  <c r="F149" i="9"/>
  <c r="F148" i="9"/>
  <c r="I149" i="9"/>
  <c r="I148" i="9"/>
  <c r="F154" i="9"/>
  <c r="F159" i="9"/>
  <c r="F160" i="9"/>
  <c r="F156" i="9" s="1"/>
  <c r="F180" i="9"/>
  <c r="F190" i="9"/>
  <c r="F191" i="9"/>
  <c r="F166" i="9"/>
  <c r="F184" i="9"/>
  <c r="F182" i="9" s="1"/>
  <c r="F198" i="9"/>
  <c r="E198" i="9" s="1"/>
  <c r="F199" i="9"/>
  <c r="I154" i="9"/>
  <c r="I160" i="9"/>
  <c r="I156" i="9"/>
  <c r="I177" i="9"/>
  <c r="I185" i="9"/>
  <c r="I180" i="9"/>
  <c r="I166" i="9"/>
  <c r="E166" i="9" s="1"/>
  <c r="I182" i="9"/>
  <c r="I153" i="9"/>
  <c r="I199" i="9"/>
  <c r="I152" i="9"/>
  <c r="I151" i="9" s="1"/>
  <c r="K16" i="9"/>
  <c r="K19" i="9"/>
  <c r="K14" i="9" s="1"/>
  <c r="K13" i="9"/>
  <c r="N17" i="9"/>
  <c r="N16" i="9" s="1"/>
  <c r="N18" i="9"/>
  <c r="N24" i="9"/>
  <c r="N23" i="9"/>
  <c r="N22" i="9" s="1"/>
  <c r="N20" i="9" s="1"/>
  <c r="N19" i="9" s="1"/>
  <c r="J19" i="9" s="1"/>
  <c r="P19" i="9" s="1"/>
  <c r="N21" i="9"/>
  <c r="K23" i="9"/>
  <c r="K22" i="9" s="1"/>
  <c r="J22" i="9" s="1"/>
  <c r="K36" i="9"/>
  <c r="K39" i="9"/>
  <c r="K44" i="9"/>
  <c r="K42" i="9"/>
  <c r="N28" i="9"/>
  <c r="N29" i="9"/>
  <c r="N31" i="9"/>
  <c r="N33" i="9"/>
  <c r="N34" i="9"/>
  <c r="N37" i="9"/>
  <c r="N36" i="9"/>
  <c r="N38" i="9"/>
  <c r="N40" i="9"/>
  <c r="N41" i="9"/>
  <c r="N39" i="9"/>
  <c r="K59" i="9"/>
  <c r="K63" i="9"/>
  <c r="K65" i="9"/>
  <c r="K47" i="9" s="1"/>
  <c r="K46" i="9" s="1"/>
  <c r="N48" i="9"/>
  <c r="N49" i="9"/>
  <c r="N51" i="9"/>
  <c r="N52" i="9"/>
  <c r="N53" i="9"/>
  <c r="N54" i="9"/>
  <c r="N55" i="9"/>
  <c r="N56" i="9"/>
  <c r="N57" i="9"/>
  <c r="N58" i="9"/>
  <c r="N60" i="9"/>
  <c r="J60" i="9" s="1"/>
  <c r="P60" i="9" s="1"/>
  <c r="N61" i="9"/>
  <c r="N59" i="9"/>
  <c r="N62" i="9"/>
  <c r="N68" i="9"/>
  <c r="J68" i="9" s="1"/>
  <c r="P68" i="9" s="1"/>
  <c r="U68" i="9" s="1"/>
  <c r="N64" i="9"/>
  <c r="N63" i="9"/>
  <c r="N66" i="9"/>
  <c r="K72" i="9"/>
  <c r="K75" i="9"/>
  <c r="K78" i="9"/>
  <c r="K70" i="9"/>
  <c r="K69" i="9" s="1"/>
  <c r="N73" i="9"/>
  <c r="N76" i="9"/>
  <c r="N75" i="9"/>
  <c r="N77" i="9"/>
  <c r="N79" i="9"/>
  <c r="N80" i="9"/>
  <c r="N78" i="9"/>
  <c r="K83" i="9"/>
  <c r="K85" i="9"/>
  <c r="K87" i="9"/>
  <c r="K89" i="9"/>
  <c r="K91" i="9"/>
  <c r="K94" i="9"/>
  <c r="K97" i="9"/>
  <c r="K101" i="9"/>
  <c r="K103" i="9"/>
  <c r="N84" i="9"/>
  <c r="N83" i="9"/>
  <c r="N86" i="9"/>
  <c r="N85" i="9"/>
  <c r="J85" i="9" s="1"/>
  <c r="P85" i="9" s="1"/>
  <c r="N88" i="9"/>
  <c r="N87" i="9"/>
  <c r="J87" i="9" s="1"/>
  <c r="P87" i="9" s="1"/>
  <c r="U87" i="9" s="1"/>
  <c r="N90" i="9"/>
  <c r="N89" i="9"/>
  <c r="J89" i="9" s="1"/>
  <c r="P89" i="9" s="1"/>
  <c r="U89" i="9" s="1"/>
  <c r="N92" i="9"/>
  <c r="N93" i="9"/>
  <c r="N91" i="9" s="1"/>
  <c r="J91" i="9" s="1"/>
  <c r="P91" i="9" s="1"/>
  <c r="N95" i="9"/>
  <c r="N96" i="9"/>
  <c r="N94" i="9"/>
  <c r="N98" i="9"/>
  <c r="N99" i="9"/>
  <c r="N102" i="9"/>
  <c r="N101" i="9"/>
  <c r="J101" i="9" s="1"/>
  <c r="P101" i="9" s="1"/>
  <c r="N104" i="9"/>
  <c r="N105" i="9"/>
  <c r="N103" i="9" s="1"/>
  <c r="J103" i="9" s="1"/>
  <c r="K107" i="9"/>
  <c r="K106" i="9"/>
  <c r="N109" i="9"/>
  <c r="N110" i="9"/>
  <c r="N107" i="9" s="1"/>
  <c r="N106" i="9" s="1"/>
  <c r="K119" i="9"/>
  <c r="J119" i="9" s="1"/>
  <c r="K122" i="9"/>
  <c r="K125" i="9"/>
  <c r="N113" i="9"/>
  <c r="N114" i="9"/>
  <c r="N115" i="9"/>
  <c r="N116" i="9"/>
  <c r="N117" i="9"/>
  <c r="N118" i="9"/>
  <c r="N120" i="9"/>
  <c r="N121" i="9"/>
  <c r="N119" i="9" s="1"/>
  <c r="N123" i="9"/>
  <c r="N122" i="9" s="1"/>
  <c r="N112" i="9" s="1"/>
  <c r="N124" i="9"/>
  <c r="N126" i="9"/>
  <c r="N125" i="9"/>
  <c r="N111" i="9"/>
  <c r="K133" i="9"/>
  <c r="K129" i="9"/>
  <c r="K131" i="9"/>
  <c r="N134" i="9"/>
  <c r="N135" i="9"/>
  <c r="N133" i="9" s="1"/>
  <c r="N129" i="9"/>
  <c r="K137" i="9"/>
  <c r="K136" i="9" s="1"/>
  <c r="N137" i="9"/>
  <c r="N136" i="9" s="1"/>
  <c r="J136" i="9"/>
  <c r="K143" i="9"/>
  <c r="K141" i="9"/>
  <c r="K140" i="9" s="1"/>
  <c r="N142" i="9"/>
  <c r="N143" i="9"/>
  <c r="N141" i="9"/>
  <c r="N140" i="9" s="1"/>
  <c r="J140" i="9"/>
  <c r="K149" i="9"/>
  <c r="K148" i="9"/>
  <c r="N149" i="9"/>
  <c r="N148" i="9"/>
  <c r="K154" i="9"/>
  <c r="K160" i="9"/>
  <c r="K156" i="9"/>
  <c r="K177" i="9"/>
  <c r="K185" i="9"/>
  <c r="K180" i="9"/>
  <c r="K166" i="9"/>
  <c r="K182" i="9"/>
  <c r="K153" i="9"/>
  <c r="K199" i="9"/>
  <c r="K152" i="9"/>
  <c r="K151" i="9" s="1"/>
  <c r="N155" i="9"/>
  <c r="N154" i="9" s="1"/>
  <c r="N157" i="9"/>
  <c r="N158" i="9"/>
  <c r="N159" i="9"/>
  <c r="N163" i="9"/>
  <c r="N164" i="9"/>
  <c r="N165" i="9"/>
  <c r="N161" i="9"/>
  <c r="J161" i="9" s="1"/>
  <c r="N162" i="9"/>
  <c r="N160" i="9"/>
  <c r="J160" i="9" s="1"/>
  <c r="N178" i="9"/>
  <c r="N179" i="9"/>
  <c r="N177" i="9"/>
  <c r="J177" i="9" s="1"/>
  <c r="N188" i="9"/>
  <c r="N186" i="9"/>
  <c r="N187" i="9"/>
  <c r="N185" i="9"/>
  <c r="N180" i="9"/>
  <c r="N189" i="9"/>
  <c r="J189" i="9" s="1"/>
  <c r="N190" i="9"/>
  <c r="N191" i="9"/>
  <c r="J191" i="9" s="1"/>
  <c r="N192" i="9"/>
  <c r="N193" i="9"/>
  <c r="J193" i="9" s="1"/>
  <c r="N194" i="9"/>
  <c r="N195" i="9"/>
  <c r="J195" i="9" s="1"/>
  <c r="N168" i="9"/>
  <c r="N169" i="9"/>
  <c r="N171" i="9"/>
  <c r="N172" i="9"/>
  <c r="N173" i="9"/>
  <c r="N175" i="9"/>
  <c r="N174" i="9"/>
  <c r="N182" i="9"/>
  <c r="N196" i="9"/>
  <c r="J196" i="9" s="1"/>
  <c r="N197" i="9"/>
  <c r="N198" i="9"/>
  <c r="J198" i="9" s="1"/>
  <c r="N199" i="9"/>
  <c r="Z188" i="9"/>
  <c r="E164" i="9"/>
  <c r="L154" i="9"/>
  <c r="L160" i="9"/>
  <c r="L156" i="9"/>
  <c r="L177" i="9"/>
  <c r="L185" i="9"/>
  <c r="L180" i="9"/>
  <c r="L166" i="9"/>
  <c r="L182" i="9"/>
  <c r="L153" i="9"/>
  <c r="M154" i="9"/>
  <c r="M160" i="9"/>
  <c r="M156" i="9" s="1"/>
  <c r="M153" i="9" s="1"/>
  <c r="M152" i="9" s="1"/>
  <c r="M177" i="9"/>
  <c r="M185" i="9"/>
  <c r="M180" i="9"/>
  <c r="M166" i="9"/>
  <c r="M182" i="9"/>
  <c r="G154" i="9"/>
  <c r="G160" i="9"/>
  <c r="G156" i="9"/>
  <c r="G177" i="9"/>
  <c r="G185" i="9"/>
  <c r="G180" i="9"/>
  <c r="G166" i="9"/>
  <c r="G182" i="9"/>
  <c r="G153" i="9"/>
  <c r="H154" i="9"/>
  <c r="H160" i="9"/>
  <c r="H156" i="9" s="1"/>
  <c r="H153" i="9" s="1"/>
  <c r="H177" i="9"/>
  <c r="H185" i="9"/>
  <c r="H180" i="9"/>
  <c r="H166" i="9"/>
  <c r="H182" i="9"/>
  <c r="J197" i="9"/>
  <c r="E197" i="9"/>
  <c r="E196" i="9"/>
  <c r="P196" i="9" s="1"/>
  <c r="P198" i="9"/>
  <c r="G15" i="9"/>
  <c r="E144" i="9"/>
  <c r="P144" i="9" s="1"/>
  <c r="L143" i="9"/>
  <c r="L141" i="9" s="1"/>
  <c r="M143" i="9"/>
  <c r="G143" i="9"/>
  <c r="G141" i="9" s="1"/>
  <c r="G140" i="9" s="1"/>
  <c r="H143" i="9"/>
  <c r="L119" i="9"/>
  <c r="L122" i="9"/>
  <c r="L125" i="9"/>
  <c r="L112" i="9"/>
  <c r="L111" i="9" s="1"/>
  <c r="M119" i="9"/>
  <c r="M122" i="9"/>
  <c r="M125" i="9"/>
  <c r="M112" i="9"/>
  <c r="G119" i="9"/>
  <c r="G122" i="9"/>
  <c r="G125" i="9"/>
  <c r="G112" i="9"/>
  <c r="G111" i="9" s="1"/>
  <c r="H119" i="9"/>
  <c r="H122" i="9"/>
  <c r="H125" i="9"/>
  <c r="H112" i="9"/>
  <c r="H111" i="9" s="1"/>
  <c r="J126" i="9"/>
  <c r="E126" i="9"/>
  <c r="E125" i="9"/>
  <c r="P126" i="9"/>
  <c r="E160" i="9"/>
  <c r="P160" i="9" s="1"/>
  <c r="J159" i="9"/>
  <c r="E159" i="9"/>
  <c r="P159" i="9"/>
  <c r="U159" i="9" s="1"/>
  <c r="E161" i="9"/>
  <c r="P161" i="9" s="1"/>
  <c r="J162" i="9"/>
  <c r="E162" i="9"/>
  <c r="P162" i="9"/>
  <c r="E163" i="9"/>
  <c r="E165" i="9"/>
  <c r="E167" i="9"/>
  <c r="E168" i="9"/>
  <c r="E169" i="9"/>
  <c r="E170" i="9"/>
  <c r="E171" i="9"/>
  <c r="E172" i="9"/>
  <c r="E173" i="9"/>
  <c r="G199" i="9"/>
  <c r="G16" i="9"/>
  <c r="G19" i="9"/>
  <c r="G14" i="9" s="1"/>
  <c r="G13" i="9"/>
  <c r="G23" i="9"/>
  <c r="G22" i="9"/>
  <c r="G27" i="9"/>
  <c r="G28" i="9"/>
  <c r="G30" i="9"/>
  <c r="G37" i="9"/>
  <c r="G36" i="9" s="1"/>
  <c r="G39" i="9"/>
  <c r="G44" i="9"/>
  <c r="G42" i="9"/>
  <c r="G59" i="9"/>
  <c r="G63" i="9"/>
  <c r="G65" i="9"/>
  <c r="G47" i="9"/>
  <c r="G46" i="9" s="1"/>
  <c r="G72" i="9"/>
  <c r="G75" i="9"/>
  <c r="G78" i="9"/>
  <c r="G84" i="9"/>
  <c r="G83" i="9"/>
  <c r="G85" i="9"/>
  <c r="G87" i="9"/>
  <c r="G90" i="9"/>
  <c r="G89" i="9"/>
  <c r="G91" i="9"/>
  <c r="G94" i="9"/>
  <c r="G97" i="9"/>
  <c r="G101" i="9"/>
  <c r="G103" i="9"/>
  <c r="G82" i="9"/>
  <c r="G81" i="9" s="1"/>
  <c r="G109" i="9"/>
  <c r="G107" i="9" s="1"/>
  <c r="G106" i="9"/>
  <c r="G133" i="9"/>
  <c r="G129" i="9"/>
  <c r="G131" i="9"/>
  <c r="G137" i="9"/>
  <c r="G136" i="9"/>
  <c r="G149" i="9"/>
  <c r="G148" i="9"/>
  <c r="H199" i="9"/>
  <c r="H16" i="9"/>
  <c r="H19" i="9"/>
  <c r="H14" i="9" s="1"/>
  <c r="H13" i="9"/>
  <c r="H23" i="9"/>
  <c r="H22" i="9"/>
  <c r="H36" i="9"/>
  <c r="H39" i="9"/>
  <c r="H44" i="9"/>
  <c r="H42" i="9"/>
  <c r="H59" i="9"/>
  <c r="H63" i="9"/>
  <c r="H65" i="9"/>
  <c r="H47" i="9"/>
  <c r="H46" i="9" s="1"/>
  <c r="H72" i="9"/>
  <c r="H75" i="9"/>
  <c r="H78" i="9"/>
  <c r="H83" i="9"/>
  <c r="H85" i="9"/>
  <c r="H87" i="9"/>
  <c r="H89" i="9"/>
  <c r="H91" i="9"/>
  <c r="H94" i="9"/>
  <c r="H97" i="9"/>
  <c r="H101" i="9"/>
  <c r="H103" i="9"/>
  <c r="H82" i="9"/>
  <c r="H81" i="9" s="1"/>
  <c r="H107" i="9"/>
  <c r="H106" i="9" s="1"/>
  <c r="H133" i="9"/>
  <c r="H129" i="9"/>
  <c r="H131" i="9"/>
  <c r="H128" i="9"/>
  <c r="H127" i="9" s="1"/>
  <c r="H137" i="9"/>
  <c r="H136" i="9" s="1"/>
  <c r="H141" i="9"/>
  <c r="H140" i="9" s="1"/>
  <c r="H149" i="9"/>
  <c r="H148" i="9" s="1"/>
  <c r="L199" i="9"/>
  <c r="L152" i="9"/>
  <c r="L151" i="9" s="1"/>
  <c r="L16" i="9"/>
  <c r="L19" i="9"/>
  <c r="L14" i="9"/>
  <c r="L13" i="9" s="1"/>
  <c r="L23" i="9"/>
  <c r="L22" i="9" s="1"/>
  <c r="L36" i="9"/>
  <c r="L39" i="9"/>
  <c r="L44" i="9"/>
  <c r="L42" i="9"/>
  <c r="L26" i="9"/>
  <c r="L25" i="9" s="1"/>
  <c r="L59" i="9"/>
  <c r="L63" i="9"/>
  <c r="L65" i="9"/>
  <c r="L47" i="9" s="1"/>
  <c r="L46" i="9" s="1"/>
  <c r="L72" i="9"/>
  <c r="L75" i="9"/>
  <c r="L78" i="9"/>
  <c r="L70" i="9"/>
  <c r="L69" i="9" s="1"/>
  <c r="L83" i="9"/>
  <c r="L85" i="9"/>
  <c r="L87" i="9"/>
  <c r="L89" i="9"/>
  <c r="L91" i="9"/>
  <c r="L94" i="9"/>
  <c r="L97" i="9"/>
  <c r="L101" i="9"/>
  <c r="L103" i="9"/>
  <c r="L107" i="9"/>
  <c r="L106" i="9"/>
  <c r="L133" i="9"/>
  <c r="L129" i="9"/>
  <c r="L131" i="9"/>
  <c r="L137" i="9"/>
  <c r="L136" i="9"/>
  <c r="L140" i="9"/>
  <c r="L149" i="9"/>
  <c r="L148" i="9"/>
  <c r="M199" i="9"/>
  <c r="M151" i="9"/>
  <c r="M16" i="9"/>
  <c r="M19" i="9"/>
  <c r="M14" i="9" s="1"/>
  <c r="M13" i="9" s="1"/>
  <c r="M23" i="9"/>
  <c r="M22" i="9"/>
  <c r="M36" i="9"/>
  <c r="M39" i="9"/>
  <c r="M44" i="9"/>
  <c r="M42" i="9"/>
  <c r="M59" i="9"/>
  <c r="M63" i="9"/>
  <c r="M65" i="9"/>
  <c r="M47" i="9"/>
  <c r="M46" i="9" s="1"/>
  <c r="M72" i="9"/>
  <c r="M75" i="9"/>
  <c r="M78" i="9"/>
  <c r="M83" i="9"/>
  <c r="M85" i="9"/>
  <c r="M87" i="9"/>
  <c r="M89" i="9"/>
  <c r="M91" i="9"/>
  <c r="M94" i="9"/>
  <c r="M97" i="9"/>
  <c r="M101" i="9"/>
  <c r="M103" i="9"/>
  <c r="M82" i="9"/>
  <c r="M81" i="9" s="1"/>
  <c r="M107" i="9"/>
  <c r="M106" i="9" s="1"/>
  <c r="M111" i="9"/>
  <c r="M133" i="9"/>
  <c r="M129" i="9"/>
  <c r="M131" i="9"/>
  <c r="M128" i="9"/>
  <c r="M127" i="9" s="1"/>
  <c r="M137" i="9"/>
  <c r="M136" i="9" s="1"/>
  <c r="M141" i="9"/>
  <c r="M140" i="9" s="1"/>
  <c r="M149" i="9"/>
  <c r="M148" i="9" s="1"/>
  <c r="J176" i="9"/>
  <c r="E176" i="9"/>
  <c r="P176" i="9"/>
  <c r="E71" i="9"/>
  <c r="P71" i="9"/>
  <c r="J182" i="9"/>
  <c r="J183" i="9"/>
  <c r="E182" i="9"/>
  <c r="E183" i="9"/>
  <c r="P182" i="9"/>
  <c r="P183" i="9"/>
  <c r="J124" i="9"/>
  <c r="E124" i="9"/>
  <c r="P124" i="9"/>
  <c r="E42" i="9"/>
  <c r="E43" i="9"/>
  <c r="J174" i="9"/>
  <c r="E174" i="9"/>
  <c r="P174" i="9" s="1"/>
  <c r="J168" i="9"/>
  <c r="P168" i="9" s="1"/>
  <c r="J169" i="9"/>
  <c r="J171" i="9"/>
  <c r="J172" i="9"/>
  <c r="P172" i="9" s="1"/>
  <c r="E132" i="9"/>
  <c r="E154" i="9"/>
  <c r="E135" i="9"/>
  <c r="E134" i="9"/>
  <c r="E130" i="9"/>
  <c r="E129" i="9"/>
  <c r="J141" i="9"/>
  <c r="E185" i="9"/>
  <c r="E180" i="9"/>
  <c r="J180" i="9"/>
  <c r="P180" i="9" s="1"/>
  <c r="Q201" i="9"/>
  <c r="E157" i="9"/>
  <c r="J157" i="9"/>
  <c r="P157" i="9" s="1"/>
  <c r="R151" i="9" s="1"/>
  <c r="S201" i="9"/>
  <c r="T201" i="9"/>
  <c r="V201" i="9"/>
  <c r="X201" i="9"/>
  <c r="E15" i="9"/>
  <c r="J16" i="9"/>
  <c r="E17" i="9"/>
  <c r="J17" i="9"/>
  <c r="P17" i="9"/>
  <c r="E18" i="9"/>
  <c r="J18" i="9"/>
  <c r="P18" i="9" s="1"/>
  <c r="U18" i="9" s="1"/>
  <c r="E19" i="9"/>
  <c r="J20" i="9"/>
  <c r="E21" i="9"/>
  <c r="J21" i="9"/>
  <c r="P21" i="9"/>
  <c r="J23" i="9"/>
  <c r="E24" i="9"/>
  <c r="J24" i="9"/>
  <c r="P24" i="9"/>
  <c r="U24" i="9" s="1"/>
  <c r="E27" i="9"/>
  <c r="J27" i="9"/>
  <c r="P27" i="9"/>
  <c r="Z27" i="9" s="1"/>
  <c r="E28" i="9"/>
  <c r="J28" i="9"/>
  <c r="P28" i="9" s="1"/>
  <c r="J29" i="9"/>
  <c r="E30" i="9"/>
  <c r="J30" i="9"/>
  <c r="P30" i="9" s="1"/>
  <c r="E31" i="9"/>
  <c r="J31" i="9"/>
  <c r="P31" i="9"/>
  <c r="Z31" i="9" s="1"/>
  <c r="E33" i="9"/>
  <c r="J33" i="9"/>
  <c r="P33" i="9" s="1"/>
  <c r="Z33" i="9" s="1"/>
  <c r="E34" i="9"/>
  <c r="J34" i="9"/>
  <c r="P34" i="9"/>
  <c r="Z34" i="9" s="1"/>
  <c r="E36" i="9"/>
  <c r="J36" i="9"/>
  <c r="P36" i="9" s="1"/>
  <c r="E37" i="9"/>
  <c r="J37" i="9"/>
  <c r="P37" i="9"/>
  <c r="Z37" i="9" s="1"/>
  <c r="E38" i="9"/>
  <c r="J38" i="9"/>
  <c r="P38" i="9" s="1"/>
  <c r="E39" i="9"/>
  <c r="J39" i="9"/>
  <c r="P39" i="9"/>
  <c r="Z39" i="9" s="1"/>
  <c r="E40" i="9"/>
  <c r="J40" i="9"/>
  <c r="P40" i="9" s="1"/>
  <c r="E41" i="9"/>
  <c r="J41" i="9"/>
  <c r="P41" i="9"/>
  <c r="U41" i="9" s="1"/>
  <c r="E44" i="9"/>
  <c r="E45" i="9"/>
  <c r="E47" i="9"/>
  <c r="E48" i="9"/>
  <c r="J48" i="9"/>
  <c r="P48" i="9"/>
  <c r="E49" i="9"/>
  <c r="J49" i="9"/>
  <c r="P49" i="9" s="1"/>
  <c r="U49" i="9" s="1"/>
  <c r="E50" i="9"/>
  <c r="E51" i="9"/>
  <c r="J51" i="9"/>
  <c r="P51" i="9" s="1"/>
  <c r="U51" i="9" s="1"/>
  <c r="E52" i="9"/>
  <c r="J52" i="9"/>
  <c r="P52" i="9"/>
  <c r="E53" i="9"/>
  <c r="J53" i="9"/>
  <c r="P53" i="9" s="1"/>
  <c r="U53" i="9" s="1"/>
  <c r="E54" i="9"/>
  <c r="J54" i="9"/>
  <c r="P54" i="9"/>
  <c r="E55" i="9"/>
  <c r="J55" i="9"/>
  <c r="P55" i="9" s="1"/>
  <c r="U55" i="9" s="1"/>
  <c r="E56" i="9"/>
  <c r="J56" i="9"/>
  <c r="P56" i="9"/>
  <c r="E57" i="9"/>
  <c r="J57" i="9"/>
  <c r="P57" i="9" s="1"/>
  <c r="U57" i="9" s="1"/>
  <c r="E58" i="9"/>
  <c r="J58" i="9"/>
  <c r="P58" i="9"/>
  <c r="E59" i="9"/>
  <c r="J59" i="9"/>
  <c r="P59" i="9" s="1"/>
  <c r="U59" i="9" s="1"/>
  <c r="E60" i="9"/>
  <c r="E61" i="9"/>
  <c r="J61" i="9"/>
  <c r="P61" i="9" s="1"/>
  <c r="U61" i="9" s="1"/>
  <c r="E62" i="9"/>
  <c r="J62" i="9"/>
  <c r="P62" i="9"/>
  <c r="E63" i="9"/>
  <c r="J63" i="9"/>
  <c r="P63" i="9" s="1"/>
  <c r="E64" i="9"/>
  <c r="J64" i="9"/>
  <c r="P64" i="9"/>
  <c r="E65" i="9"/>
  <c r="E66" i="9"/>
  <c r="J66" i="9"/>
  <c r="P66" i="9"/>
  <c r="E67" i="9"/>
  <c r="J67" i="9"/>
  <c r="P67" i="9" s="1"/>
  <c r="E68" i="9"/>
  <c r="E70" i="9"/>
  <c r="E72" i="9"/>
  <c r="E73" i="9"/>
  <c r="J73" i="9"/>
  <c r="P73" i="9" s="1"/>
  <c r="E74" i="9"/>
  <c r="E75" i="9"/>
  <c r="J75" i="9"/>
  <c r="P75" i="9" s="1"/>
  <c r="E76" i="9"/>
  <c r="J76" i="9"/>
  <c r="P76" i="9"/>
  <c r="U76" i="9" s="1"/>
  <c r="E77" i="9"/>
  <c r="J77" i="9"/>
  <c r="P77" i="9" s="1"/>
  <c r="E78" i="9"/>
  <c r="J78" i="9"/>
  <c r="P78" i="9"/>
  <c r="U78" i="9" s="1"/>
  <c r="E79" i="9"/>
  <c r="J79" i="9"/>
  <c r="P79" i="9" s="1"/>
  <c r="E80" i="9"/>
  <c r="J80" i="9"/>
  <c r="P80" i="9"/>
  <c r="E83" i="9"/>
  <c r="E84" i="9"/>
  <c r="J84" i="9"/>
  <c r="P84" i="9" s="1"/>
  <c r="E85" i="9"/>
  <c r="E86" i="9"/>
  <c r="J86" i="9"/>
  <c r="P86" i="9" s="1"/>
  <c r="E87" i="9"/>
  <c r="E88" i="9"/>
  <c r="J88" i="9"/>
  <c r="P88" i="9" s="1"/>
  <c r="E89" i="9"/>
  <c r="E90" i="9"/>
  <c r="J90" i="9"/>
  <c r="P90" i="9" s="1"/>
  <c r="E91" i="9"/>
  <c r="E92" i="9"/>
  <c r="J92" i="9"/>
  <c r="P92" i="9" s="1"/>
  <c r="U92" i="9" s="1"/>
  <c r="E93" i="9"/>
  <c r="E94" i="9"/>
  <c r="J94" i="9"/>
  <c r="P94" i="9" s="1"/>
  <c r="U94" i="9" s="1"/>
  <c r="E95" i="9"/>
  <c r="J95" i="9"/>
  <c r="P95" i="9"/>
  <c r="E96" i="9"/>
  <c r="J96" i="9"/>
  <c r="P96" i="9" s="1"/>
  <c r="U96" i="9" s="1"/>
  <c r="E97" i="9"/>
  <c r="E98" i="9"/>
  <c r="J98" i="9"/>
  <c r="P98" i="9" s="1"/>
  <c r="U98" i="9" s="1"/>
  <c r="E99" i="9"/>
  <c r="J99" i="9"/>
  <c r="P99" i="9"/>
  <c r="E100" i="9"/>
  <c r="E101" i="9"/>
  <c r="E102" i="9"/>
  <c r="J102" i="9"/>
  <c r="P102" i="9" s="1"/>
  <c r="U102" i="9" s="1"/>
  <c r="E103" i="9"/>
  <c r="P103" i="9"/>
  <c r="E104" i="9"/>
  <c r="J104" i="9"/>
  <c r="P104" i="9" s="1"/>
  <c r="U104" i="9" s="1"/>
  <c r="E105" i="9"/>
  <c r="E107" i="9"/>
  <c r="J107" i="9"/>
  <c r="P107" i="9" s="1"/>
  <c r="U107" i="9" s="1"/>
  <c r="F108" i="9"/>
  <c r="I108" i="9"/>
  <c r="E108" i="9"/>
  <c r="K108" i="9"/>
  <c r="N108" i="9"/>
  <c r="J108" i="9" s="1"/>
  <c r="P108" i="9"/>
  <c r="E109" i="9"/>
  <c r="J109" i="9"/>
  <c r="P109" i="9" s="1"/>
  <c r="U109" i="9" s="1"/>
  <c r="E110" i="9"/>
  <c r="E112" i="9"/>
  <c r="E113" i="9"/>
  <c r="J113" i="9"/>
  <c r="P113" i="9"/>
  <c r="E114" i="9"/>
  <c r="J114" i="9"/>
  <c r="P114" i="9" s="1"/>
  <c r="U114" i="9" s="1"/>
  <c r="J115" i="9"/>
  <c r="E115" i="9"/>
  <c r="P115" i="9"/>
  <c r="J116" i="9"/>
  <c r="E116" i="9"/>
  <c r="P116" i="9" s="1"/>
  <c r="U116" i="9" s="1"/>
  <c r="E117" i="9"/>
  <c r="J117" i="9"/>
  <c r="P117" i="9"/>
  <c r="E118" i="9"/>
  <c r="J118" i="9"/>
  <c r="P118" i="9" s="1"/>
  <c r="U118" i="9" s="1"/>
  <c r="E119" i="9"/>
  <c r="P119" i="9"/>
  <c r="E120" i="9"/>
  <c r="J120" i="9"/>
  <c r="P120" i="9" s="1"/>
  <c r="E121" i="9"/>
  <c r="J121" i="9"/>
  <c r="P121" i="9"/>
  <c r="E122" i="9"/>
  <c r="J122" i="9"/>
  <c r="P122" i="9" s="1"/>
  <c r="E123" i="9"/>
  <c r="J129" i="9"/>
  <c r="P129" i="9"/>
  <c r="J130" i="9"/>
  <c r="P130" i="9"/>
  <c r="J134" i="9"/>
  <c r="P134" i="9"/>
  <c r="E137" i="9"/>
  <c r="J137" i="9"/>
  <c r="P137" i="9" s="1"/>
  <c r="R137" i="9" s="1"/>
  <c r="E138" i="9"/>
  <c r="J138" i="9"/>
  <c r="P138" i="9"/>
  <c r="R138" i="9" s="1"/>
  <c r="E139" i="9"/>
  <c r="J139" i="9"/>
  <c r="P139" i="9" s="1"/>
  <c r="U139" i="9" s="1"/>
  <c r="E142" i="9"/>
  <c r="J142" i="9"/>
  <c r="P142" i="9" s="1"/>
  <c r="U142" i="9" s="1"/>
  <c r="E143" i="9"/>
  <c r="J143" i="9"/>
  <c r="P143" i="9"/>
  <c r="E145" i="9"/>
  <c r="J145" i="9"/>
  <c r="P145" i="9" s="1"/>
  <c r="E146" i="9"/>
  <c r="J146" i="9"/>
  <c r="P146" i="9"/>
  <c r="U146" i="9" s="1"/>
  <c r="E147" i="9"/>
  <c r="J147" i="9"/>
  <c r="P147" i="9" s="1"/>
  <c r="E149" i="9"/>
  <c r="J149" i="9"/>
  <c r="P149" i="9"/>
  <c r="E150" i="9"/>
  <c r="J150" i="9"/>
  <c r="P150" i="9" s="1"/>
  <c r="J154" i="9"/>
  <c r="P154" i="9" s="1"/>
  <c r="E155" i="9"/>
  <c r="E156" i="9"/>
  <c r="E158" i="9"/>
  <c r="J158" i="9"/>
  <c r="P158" i="9"/>
  <c r="U158" i="9" s="1"/>
  <c r="J163" i="9"/>
  <c r="P163" i="9"/>
  <c r="R159" i="9" s="1"/>
  <c r="J164" i="9"/>
  <c r="P164" i="9"/>
  <c r="J165" i="9"/>
  <c r="P165" i="9"/>
  <c r="U164" i="9" s="1"/>
  <c r="J173" i="9"/>
  <c r="P173" i="9"/>
  <c r="E175" i="9"/>
  <c r="J175" i="9"/>
  <c r="P175" i="9" s="1"/>
  <c r="E177" i="9"/>
  <c r="P177" i="9"/>
  <c r="E178" i="9"/>
  <c r="J178" i="9"/>
  <c r="P178" i="9" s="1"/>
  <c r="E179" i="9"/>
  <c r="J179" i="9"/>
  <c r="P179" i="9"/>
  <c r="U178" i="9" s="1"/>
  <c r="E181" i="9"/>
  <c r="J181" i="9"/>
  <c r="P181" i="9" s="1"/>
  <c r="E184" i="9"/>
  <c r="J184" i="9"/>
  <c r="P184" i="9"/>
  <c r="E186" i="9"/>
  <c r="J186" i="9"/>
  <c r="P186" i="9" s="1"/>
  <c r="E187" i="9"/>
  <c r="J187" i="9"/>
  <c r="P187" i="9"/>
  <c r="E188" i="9"/>
  <c r="J188" i="9"/>
  <c r="P188" i="9" s="1"/>
  <c r="E189" i="9"/>
  <c r="P189" i="9" s="1"/>
  <c r="E190" i="9"/>
  <c r="J190" i="9"/>
  <c r="P190" i="9" s="1"/>
  <c r="E191" i="9"/>
  <c r="P191" i="9" s="1"/>
  <c r="E192" i="9"/>
  <c r="J192" i="9"/>
  <c r="P192" i="9" s="1"/>
  <c r="E193" i="9"/>
  <c r="P193" i="9" s="1"/>
  <c r="E194" i="9"/>
  <c r="J194" i="9"/>
  <c r="P194" i="9" s="1"/>
  <c r="E195" i="9"/>
  <c r="P195" i="9" s="1"/>
  <c r="E199" i="9"/>
  <c r="J199" i="9"/>
  <c r="P199" i="9" s="1"/>
  <c r="U188" i="9" s="1"/>
  <c r="E200" i="9"/>
  <c r="J200" i="9"/>
  <c r="P200" i="9"/>
  <c r="U138" i="9"/>
  <c r="U137" i="9"/>
  <c r="U147" i="9"/>
  <c r="Q134" i="9"/>
  <c r="U40" i="9"/>
  <c r="U39" i="9"/>
  <c r="U38" i="9"/>
  <c r="U36" i="9"/>
  <c r="U35" i="9"/>
  <c r="U34" i="9"/>
  <c r="U32" i="9"/>
  <c r="R32" i="9"/>
  <c r="U31" i="9"/>
  <c r="U30" i="9"/>
  <c r="U28" i="9"/>
  <c r="U27" i="9"/>
  <c r="U16" i="9"/>
  <c r="U48" i="9"/>
  <c r="U50" i="9"/>
  <c r="U52" i="9"/>
  <c r="U54" i="9"/>
  <c r="U56" i="9"/>
  <c r="U58" i="9"/>
  <c r="U60" i="9"/>
  <c r="U62" i="9"/>
  <c r="U73" i="9"/>
  <c r="U75" i="9"/>
  <c r="U77" i="9"/>
  <c r="U84" i="9"/>
  <c r="U88" i="9"/>
  <c r="U90" i="9"/>
  <c r="U95" i="9"/>
  <c r="U99" i="9"/>
  <c r="U101" i="9"/>
  <c r="U103" i="9"/>
  <c r="U108" i="9"/>
  <c r="U113" i="9"/>
  <c r="U115" i="9"/>
  <c r="U117" i="9"/>
  <c r="U119" i="9"/>
  <c r="U157" i="9"/>
  <c r="U163" i="9"/>
  <c r="U165" i="9"/>
  <c r="U179" i="9"/>
  <c r="U199" i="9"/>
  <c r="R152" i="9"/>
  <c r="R157" i="9"/>
  <c r="R158" i="9"/>
  <c r="R163" i="9"/>
  <c r="R165" i="9"/>
  <c r="R16" i="9"/>
  <c r="R18" i="9"/>
  <c r="R24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8" i="9"/>
  <c r="R73" i="9"/>
  <c r="R75" i="9"/>
  <c r="R76" i="9"/>
  <c r="R77" i="9"/>
  <c r="R78" i="9"/>
  <c r="R84" i="9"/>
  <c r="R87" i="9"/>
  <c r="R88" i="9"/>
  <c r="R89" i="9"/>
  <c r="R90" i="9"/>
  <c r="R92" i="9"/>
  <c r="R94" i="9"/>
  <c r="R95" i="9"/>
  <c r="R96" i="9"/>
  <c r="R98" i="9"/>
  <c r="R99" i="9"/>
  <c r="R101" i="9"/>
  <c r="R102" i="9"/>
  <c r="R103" i="9"/>
  <c r="R104" i="9"/>
  <c r="R107" i="9"/>
  <c r="R108" i="9"/>
  <c r="R109" i="9"/>
  <c r="R113" i="9"/>
  <c r="R114" i="9"/>
  <c r="R115" i="9"/>
  <c r="R116" i="9"/>
  <c r="R117" i="9"/>
  <c r="R118" i="9"/>
  <c r="R119" i="9"/>
  <c r="L108" i="9"/>
  <c r="M108" i="9"/>
  <c r="O108" i="9"/>
  <c r="G108" i="9"/>
  <c r="H108" i="9"/>
  <c r="Z38" i="9" l="1"/>
  <c r="R38" i="9"/>
  <c r="Z28" i="9"/>
  <c r="R28" i="9"/>
  <c r="Z40" i="9"/>
  <c r="R40" i="9"/>
  <c r="Z36" i="9"/>
  <c r="R36" i="9"/>
  <c r="Z30" i="9"/>
  <c r="R30" i="9"/>
  <c r="L128" i="9"/>
  <c r="L127" i="9" s="1"/>
  <c r="L82" i="9"/>
  <c r="L81" i="9" s="1"/>
  <c r="H70" i="9"/>
  <c r="H69" i="9" s="1"/>
  <c r="H26" i="9"/>
  <c r="H25" i="9" s="1"/>
  <c r="H201" i="9" s="1"/>
  <c r="H152" i="9"/>
  <c r="H151" i="9" s="1"/>
  <c r="G152" i="9"/>
  <c r="G151" i="9" s="1"/>
  <c r="J148" i="9"/>
  <c r="K112" i="9"/>
  <c r="J125" i="9"/>
  <c r="J106" i="9"/>
  <c r="I140" i="9"/>
  <c r="E141" i="9"/>
  <c r="P141" i="9" s="1"/>
  <c r="U141" i="9" s="1"/>
  <c r="E140" i="9"/>
  <c r="P140" i="9" s="1"/>
  <c r="E136" i="9"/>
  <c r="P136" i="9" s="1"/>
  <c r="F25" i="9"/>
  <c r="E25" i="9" s="1"/>
  <c r="E26" i="9"/>
  <c r="P22" i="9"/>
  <c r="F14" i="9"/>
  <c r="O97" i="9"/>
  <c r="N100" i="9"/>
  <c r="O82" i="9"/>
  <c r="O81" i="9" s="1"/>
  <c r="O14" i="9"/>
  <c r="O13" i="9" s="1"/>
  <c r="N15" i="9"/>
  <c r="O166" i="9"/>
  <c r="N167" i="9"/>
  <c r="Z41" i="9"/>
  <c r="P29" i="9"/>
  <c r="R27" i="9"/>
  <c r="R31" i="9"/>
  <c r="R34" i="9"/>
  <c r="R35" i="9"/>
  <c r="R39" i="9"/>
  <c r="J155" i="9"/>
  <c r="P155" i="9" s="1"/>
  <c r="J135" i="9"/>
  <c r="P135" i="9" s="1"/>
  <c r="J133" i="9"/>
  <c r="J123" i="9"/>
  <c r="P123" i="9" s="1"/>
  <c r="J110" i="9"/>
  <c r="P110" i="9" s="1"/>
  <c r="J105" i="9"/>
  <c r="P105" i="9" s="1"/>
  <c r="J93" i="9"/>
  <c r="P93" i="9" s="1"/>
  <c r="J83" i="9"/>
  <c r="P83" i="9" s="1"/>
  <c r="E23" i="9"/>
  <c r="P23" i="9" s="1"/>
  <c r="E20" i="9"/>
  <c r="P20" i="9" s="1"/>
  <c r="M70" i="9"/>
  <c r="M69" i="9" s="1"/>
  <c r="M26" i="9"/>
  <c r="M25" i="9" s="1"/>
  <c r="M201" i="9" s="1"/>
  <c r="L201" i="9"/>
  <c r="G128" i="9"/>
  <c r="G127" i="9" s="1"/>
  <c r="G70" i="9"/>
  <c r="G69" i="9" s="1"/>
  <c r="G26" i="9"/>
  <c r="G25" i="9" s="1"/>
  <c r="G201" i="9" s="1"/>
  <c r="P171" i="9"/>
  <c r="P169" i="9"/>
  <c r="P125" i="9"/>
  <c r="P197" i="9"/>
  <c r="N156" i="9"/>
  <c r="J156" i="9" s="1"/>
  <c r="P156" i="9" s="1"/>
  <c r="J185" i="9"/>
  <c r="P185" i="9" s="1"/>
  <c r="K128" i="9"/>
  <c r="K82" i="9"/>
  <c r="F153" i="9"/>
  <c r="F128" i="9"/>
  <c r="E133" i="9"/>
  <c r="P133" i="9" s="1"/>
  <c r="E111" i="9"/>
  <c r="P106" i="9"/>
  <c r="E69" i="9"/>
  <c r="E46" i="9"/>
  <c r="I201" i="9"/>
  <c r="O153" i="9"/>
  <c r="O152" i="9" s="1"/>
  <c r="O151" i="9" s="1"/>
  <c r="O131" i="9"/>
  <c r="O128" i="9" s="1"/>
  <c r="O127" i="9" s="1"/>
  <c r="N132" i="9"/>
  <c r="O72" i="9"/>
  <c r="O70" i="9" s="1"/>
  <c r="O69" i="9" s="1"/>
  <c r="N74" i="9"/>
  <c r="J74" i="9" s="1"/>
  <c r="P74" i="9" s="1"/>
  <c r="N65" i="9"/>
  <c r="N47" i="9" s="1"/>
  <c r="N46" i="9" s="1"/>
  <c r="J46" i="9" s="1"/>
  <c r="O42" i="9"/>
  <c r="N43" i="9"/>
  <c r="K26" i="9"/>
  <c r="E148" i="9"/>
  <c r="P148" i="9" s="1"/>
  <c r="Z148" i="9" s="1"/>
  <c r="F82" i="9"/>
  <c r="O112" i="9"/>
  <c r="O111" i="9" s="1"/>
  <c r="O47" i="9"/>
  <c r="O46" i="9" s="1"/>
  <c r="O44" i="9"/>
  <c r="O26" i="9" s="1"/>
  <c r="O25" i="9" s="1"/>
  <c r="N45" i="9"/>
  <c r="N44" i="9" l="1"/>
  <c r="J45" i="9"/>
  <c r="P45" i="9" s="1"/>
  <c r="Z45" i="9" s="1"/>
  <c r="U74" i="9"/>
  <c r="R74" i="9"/>
  <c r="J132" i="9"/>
  <c r="P132" i="9" s="1"/>
  <c r="N131" i="9"/>
  <c r="P46" i="9"/>
  <c r="Z106" i="9"/>
  <c r="U106" i="9"/>
  <c r="R106" i="9"/>
  <c r="R133" i="9"/>
  <c r="U133" i="9"/>
  <c r="F152" i="9"/>
  <c r="E153" i="9"/>
  <c r="K81" i="9"/>
  <c r="U23" i="9"/>
  <c r="R23" i="9"/>
  <c r="J65" i="9"/>
  <c r="P65" i="9" s="1"/>
  <c r="U93" i="9"/>
  <c r="R93" i="9"/>
  <c r="U110" i="9"/>
  <c r="R110" i="9"/>
  <c r="Z29" i="9"/>
  <c r="R29" i="9"/>
  <c r="U29" i="9"/>
  <c r="N166" i="9"/>
  <c r="J166" i="9" s="1"/>
  <c r="P166" i="9" s="1"/>
  <c r="J167" i="9"/>
  <c r="P167" i="9" s="1"/>
  <c r="N14" i="9"/>
  <c r="J15" i="9"/>
  <c r="P15" i="9" s="1"/>
  <c r="R22" i="9"/>
  <c r="Z22" i="9"/>
  <c r="U22" i="9"/>
  <c r="Z140" i="9"/>
  <c r="U140" i="9"/>
  <c r="N153" i="9"/>
  <c r="N72" i="9"/>
  <c r="F81" i="9"/>
  <c r="E81" i="9" s="1"/>
  <c r="E82" i="9"/>
  <c r="K25" i="9"/>
  <c r="N42" i="9"/>
  <c r="J42" i="9" s="1"/>
  <c r="P42" i="9" s="1"/>
  <c r="Z42" i="9" s="1"/>
  <c r="J43" i="9"/>
  <c r="P43" i="9" s="1"/>
  <c r="Z43" i="9" s="1"/>
  <c r="F127" i="9"/>
  <c r="E127" i="9" s="1"/>
  <c r="E128" i="9"/>
  <c r="K127" i="9"/>
  <c r="J47" i="9"/>
  <c r="P47" i="9" s="1"/>
  <c r="U83" i="9"/>
  <c r="R83" i="9"/>
  <c r="U105" i="9"/>
  <c r="R105" i="9"/>
  <c r="U135" i="9"/>
  <c r="R135" i="9"/>
  <c r="O201" i="9"/>
  <c r="N97" i="9"/>
  <c r="J100" i="9"/>
  <c r="P100" i="9" s="1"/>
  <c r="F13" i="9"/>
  <c r="E14" i="9"/>
  <c r="R136" i="9"/>
  <c r="Z136" i="9"/>
  <c r="U136" i="9"/>
  <c r="K111" i="9"/>
  <c r="J111" i="9" s="1"/>
  <c r="P111" i="9" s="1"/>
  <c r="J112" i="9"/>
  <c r="P112" i="9" s="1"/>
  <c r="U111" i="9" l="1"/>
  <c r="Z111" i="9"/>
  <c r="R111" i="9"/>
  <c r="U112" i="9"/>
  <c r="R112" i="9"/>
  <c r="U100" i="9"/>
  <c r="R100" i="9"/>
  <c r="K201" i="9"/>
  <c r="N70" i="9"/>
  <c r="J72" i="9"/>
  <c r="P72" i="9" s="1"/>
  <c r="U15" i="9"/>
  <c r="R15" i="9"/>
  <c r="J131" i="9"/>
  <c r="P131" i="9" s="1"/>
  <c r="N128" i="9"/>
  <c r="E13" i="9"/>
  <c r="J97" i="9"/>
  <c r="P97" i="9" s="1"/>
  <c r="N82" i="9"/>
  <c r="U47" i="9"/>
  <c r="R47" i="9"/>
  <c r="N152" i="9"/>
  <c r="J153" i="9"/>
  <c r="P153" i="9" s="1"/>
  <c r="R146" i="9" s="1"/>
  <c r="N13" i="9"/>
  <c r="J14" i="9"/>
  <c r="P14" i="9" s="1"/>
  <c r="F151" i="9"/>
  <c r="E151" i="9" s="1"/>
  <c r="E152" i="9"/>
  <c r="R46" i="9"/>
  <c r="Z46" i="9"/>
  <c r="U46" i="9"/>
  <c r="W46" i="9" s="1"/>
  <c r="W201" i="9" s="1"/>
  <c r="J44" i="9"/>
  <c r="P44" i="9" s="1"/>
  <c r="Z44" i="9" s="1"/>
  <c r="N26" i="9"/>
  <c r="U14" i="9" l="1"/>
  <c r="R14" i="9"/>
  <c r="N81" i="9"/>
  <c r="J81" i="9" s="1"/>
  <c r="P81" i="9" s="1"/>
  <c r="J82" i="9"/>
  <c r="P82" i="9" s="1"/>
  <c r="F201" i="9"/>
  <c r="N127" i="9"/>
  <c r="J127" i="9" s="1"/>
  <c r="P127" i="9" s="1"/>
  <c r="J128" i="9"/>
  <c r="P128" i="9" s="1"/>
  <c r="N69" i="9"/>
  <c r="J69" i="9" s="1"/>
  <c r="P69" i="9" s="1"/>
  <c r="J70" i="9"/>
  <c r="P70" i="9" s="1"/>
  <c r="N25" i="9"/>
  <c r="J25" i="9" s="1"/>
  <c r="P25" i="9" s="1"/>
  <c r="J26" i="9"/>
  <c r="P26" i="9" s="1"/>
  <c r="J13" i="9"/>
  <c r="J201" i="9" s="1"/>
  <c r="N151" i="9"/>
  <c r="J151" i="9" s="1"/>
  <c r="P151" i="9" s="1"/>
  <c r="J152" i="9"/>
  <c r="P152" i="9" s="1"/>
  <c r="U97" i="9"/>
  <c r="R97" i="9"/>
  <c r="E201" i="9"/>
  <c r="P13" i="9"/>
  <c r="U72" i="9"/>
  <c r="R72" i="9"/>
  <c r="R141" i="9" l="1"/>
  <c r="U152" i="9"/>
  <c r="Z151" i="9"/>
  <c r="R140" i="9"/>
  <c r="U151" i="9"/>
  <c r="V152" i="9" s="1"/>
  <c r="N201" i="9"/>
  <c r="Z25" i="9"/>
  <c r="R25" i="9"/>
  <c r="U25" i="9"/>
  <c r="Z69" i="9"/>
  <c r="Z70" i="9" s="1"/>
  <c r="U69" i="9"/>
  <c r="R69" i="9"/>
  <c r="Z127" i="9"/>
  <c r="U127" i="9"/>
  <c r="R127" i="9"/>
  <c r="U82" i="9"/>
  <c r="R82" i="9"/>
  <c r="Z13" i="9"/>
  <c r="R13" i="9"/>
  <c r="P201" i="9"/>
  <c r="U13" i="9"/>
  <c r="U26" i="9"/>
  <c r="R26" i="9"/>
  <c r="U70" i="9"/>
  <c r="R70" i="9"/>
  <c r="U128" i="9"/>
  <c r="R128" i="9"/>
  <c r="R81" i="9"/>
  <c r="Z81" i="9"/>
  <c r="U81" i="9"/>
  <c r="U200" i="9" l="1"/>
  <c r="R164" i="9"/>
  <c r="U201" i="9"/>
  <c r="R201" i="9"/>
</calcChain>
</file>

<file path=xl/sharedStrings.xml><?xml version="1.0" encoding="utf-8"?>
<sst xmlns="http://schemas.openxmlformats.org/spreadsheetml/2006/main" count="592" uniqueCount="438">
  <si>
    <t>Всього</t>
  </si>
  <si>
    <t>з них</t>
  </si>
  <si>
    <t>оплата праці</t>
  </si>
  <si>
    <t>комунальні послуги та енергоносії</t>
  </si>
  <si>
    <t>бюджет розвитку</t>
  </si>
  <si>
    <t>Разом</t>
  </si>
  <si>
    <t>0100000</t>
  </si>
  <si>
    <t>0110000</t>
  </si>
  <si>
    <t xml:space="preserve">до рішення обласної ради 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</si>
  <si>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</si>
  <si>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</si>
  <si>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Створення банків крові та її компонентів</t>
  </si>
  <si>
    <t>Утримання закладів, що надають соціальні послуги дітям, які опинились в складних життєвих обставинах</t>
  </si>
  <si>
    <t>Загальнообласні видатки</t>
  </si>
  <si>
    <t>0800000</t>
  </si>
  <si>
    <t>0810000</t>
  </si>
  <si>
    <t>Проведення навчально-тренувальних зборів і змагань з неолімпійських видів спорту</t>
  </si>
  <si>
    <t xml:space="preserve">Всього видатків </t>
  </si>
  <si>
    <t>Заходи державної політики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</si>
  <si>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</si>
  <si>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</si>
  <si>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Код програмної класифікації видатків та кредитування місцевих бюджетів (КПКВК)</t>
  </si>
  <si>
    <t>видатки споживання</t>
  </si>
  <si>
    <t>видатки розвитку</t>
  </si>
  <si>
    <t>Код типової програмно класифікації видатків та кредитування місцевих бюджетів (КТПКВК)</t>
  </si>
  <si>
    <t>Код функціональної класифікації видатків та кредитування бюджету (КФКВКБ)</t>
  </si>
  <si>
    <t>16=5+10</t>
  </si>
  <si>
    <t>0540</t>
  </si>
  <si>
    <t>1040</t>
  </si>
  <si>
    <t>Надання загальної середньої освіти загальноосвiтнiми школами-iнтернатами, загальноосвітніми санаторними школами-інтернатами</t>
  </si>
  <si>
    <t>0922</t>
  </si>
  <si>
    <t>1060</t>
  </si>
  <si>
    <t>0910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</si>
  <si>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</si>
  <si>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 </t>
  </si>
  <si>
    <t>1080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</si>
  <si>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</si>
  <si>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</si>
  <si>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</si>
  <si>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0930</t>
  </si>
  <si>
    <t>1130</t>
  </si>
  <si>
    <t>0942</t>
  </si>
  <si>
    <t>1140</t>
  </si>
  <si>
    <t>0950</t>
  </si>
  <si>
    <t>0990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</si>
  <si>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</si>
  <si>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5011</t>
  </si>
  <si>
    <t>0810</t>
  </si>
  <si>
    <t>5022</t>
  </si>
  <si>
    <r>
      <t xml:space="preserve">Департамент освіти і науки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</si>
  <si>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Департамент освіти і науки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</si>
  <si>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t>0111</t>
  </si>
  <si>
    <t xml:space="preserve">Організаційне, інформаційно-аналітичне та матеріально-технічне забезпечення діяльності обласної  ради </t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</si>
  <si>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</si>
  <si>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</si>
  <si>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</si>
  <si>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  <charset val="204"/>
      </rPr>
      <t xml:space="preserve">(відповідальний виконавець)  </t>
    </r>
  </si>
  <si>
    <r>
      <t xml:space="preserve">Служба у справах дітей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</si>
  <si>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</si>
  <si>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  <charset val="204"/>
      </rPr>
      <t xml:space="preserve">(головний розпорядник) </t>
    </r>
  </si>
  <si>
    <r>
      <t>Служба у справах дітей ОДА</t>
    </r>
    <r>
      <rPr>
        <sz val="10"/>
        <rFont val="Times New Roman"/>
        <family val="1"/>
        <charset val="204"/>
      </rPr>
      <t xml:space="preserve"> (головний розпорядник)</t>
    </r>
  </si>
  <si>
    <t>0133</t>
  </si>
  <si>
    <t>0180</t>
  </si>
  <si>
    <t>1120</t>
  </si>
  <si>
    <t>0941</t>
  </si>
  <si>
    <t>2010</t>
  </si>
  <si>
    <t>0731</t>
  </si>
  <si>
    <t>0732</t>
  </si>
  <si>
    <t>2060</t>
  </si>
  <si>
    <t>0734</t>
  </si>
  <si>
    <t>2070</t>
  </si>
  <si>
    <t>2090</t>
  </si>
  <si>
    <t>0761</t>
  </si>
  <si>
    <t>2100</t>
  </si>
  <si>
    <t>0762</t>
  </si>
  <si>
    <t>0724</t>
  </si>
  <si>
    <t>2130</t>
  </si>
  <si>
    <t>0722</t>
  </si>
  <si>
    <t>0740</t>
  </si>
  <si>
    <t>0763</t>
  </si>
  <si>
    <t>0824</t>
  </si>
  <si>
    <t>Медико-соціальний захист дітей-сиріт і дітей, позбавлених батьківського піклування</t>
  </si>
  <si>
    <r>
      <t xml:space="preserve">Управління культури, національностей, релігій та туризму ОДА </t>
    </r>
    <r>
      <rPr>
        <sz val="10"/>
        <rFont val="Times New Roman"/>
        <family val="1"/>
        <charset val="204"/>
      </rPr>
      <t xml:space="preserve"> (головний розпорядник)</t>
    </r>
  </si>
  <si>
    <r>
      <t xml:space="preserve">Управління культури, національностей, релігій та туризму ОДА  </t>
    </r>
    <r>
      <rPr>
        <sz val="10"/>
        <rFont val="Times New Roman"/>
        <family val="1"/>
        <charset val="204"/>
      </rPr>
      <t>(відповідальний виконавець)</t>
    </r>
  </si>
  <si>
    <t>4020</t>
  </si>
  <si>
    <t>0821</t>
  </si>
  <si>
    <t>0822</t>
  </si>
  <si>
    <t>4080</t>
  </si>
  <si>
    <t>0827</t>
  </si>
  <si>
    <t>0829</t>
  </si>
  <si>
    <t>1010</t>
  </si>
  <si>
    <t>1020</t>
  </si>
  <si>
    <t>1030</t>
  </si>
  <si>
    <t>3111</t>
  </si>
  <si>
    <t>3131</t>
  </si>
  <si>
    <t>3140</t>
  </si>
  <si>
    <t>3112</t>
  </si>
  <si>
    <t>5012</t>
  </si>
  <si>
    <t>5021</t>
  </si>
  <si>
    <t>5060</t>
  </si>
  <si>
    <t>5033</t>
  </si>
  <si>
    <r>
      <t xml:space="preserve">Управління молоді та спорту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</si>
  <si>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Управління молоді та спорту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</si>
  <si>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t>Загальний фонд</t>
  </si>
  <si>
    <t>Спеціальний фонд</t>
  </si>
  <si>
    <t>грн.</t>
  </si>
  <si>
    <t>Найменування головного розпорядника</t>
  </si>
  <si>
    <t xml:space="preserve"> відповідального виконавця, бюджетної програми або напрямку видатків згідно з типовою відомчою (ТПКВКМБ)</t>
  </si>
  <si>
    <t>5010</t>
  </si>
  <si>
    <t>5020</t>
  </si>
  <si>
    <t>Проведення спортивної роботи в регіоні</t>
  </si>
  <si>
    <t>3100</t>
  </si>
  <si>
    <t>Соціальний захист ветеранів війни та праці</t>
  </si>
  <si>
    <t>3110</t>
  </si>
  <si>
    <t>Заклади і заходи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</si>
  <si>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</si>
  <si>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</si>
  <si>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 xml:space="preserve">Резервний фонд </t>
  </si>
  <si>
    <r>
      <t xml:space="preserve">Хмельницька обласна рада (апарат обласної ради)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</si>
  <si>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Хмельницька обласна рада (апарат обласної ради) 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</si>
  <si>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r>
      <t>Департамент фінансів ОДА</t>
    </r>
    <r>
      <rPr>
        <sz val="10"/>
        <rFont val="Times New Roman"/>
        <family val="1"/>
        <charset val="204"/>
      </rPr>
      <t xml:space="preserve"> (в частині міжбюджетних трансфертів, резервного фонду)(головний розпорядник)</t>
    </r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</si>
  <si>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</si>
  <si>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</si>
  <si>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5031</t>
  </si>
  <si>
    <t>Розвиток дитячо-юнацького та резервного спорту</t>
  </si>
  <si>
    <t>5030</t>
  </si>
  <si>
    <t>Фінансова підтримка дитячо-юнацьких спортивних шкіл фізкультурно-спортивних товариств</t>
  </si>
  <si>
    <t>5032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</si>
  <si>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</si>
  <si>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</si>
  <si>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</si>
  <si>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</si>
  <si>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</si>
  <si>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</si>
  <si>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</si>
  <si>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Реалізація державної політики у молодіжній сфері</t>
  </si>
  <si>
    <t>5050</t>
  </si>
  <si>
    <t>Підтримка фізкультурно-спортивного руху</t>
  </si>
  <si>
    <r>
      <t xml:space="preserve">Департамент фінансів ОДА </t>
    </r>
    <r>
      <rPr>
        <sz val="10"/>
        <rFont val="Times New Roman"/>
        <family val="1"/>
        <charset val="204"/>
      </rPr>
      <t>(відповідальний виконавець)</t>
    </r>
  </si>
  <si>
    <t>0456</t>
  </si>
  <si>
    <t xml:space="preserve">Додаток 3
</t>
  </si>
  <si>
    <t>1110</t>
  </si>
  <si>
    <t>Підготовка кадрів професійно-технічними закладами та іншими закладами освіти</t>
  </si>
  <si>
    <t>Підготовка кадрів вищими навчальними закладами І-ІІ рівнів акредитації (коледжами, технікумами, училищами)</t>
  </si>
  <si>
    <t>1160</t>
  </si>
  <si>
    <t>Інші програми, заклади та заходи у сфері освіти</t>
  </si>
  <si>
    <t>Надання загальної середньої освіти  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</si>
  <si>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Підготовка кадрів вищими навчальними закладами ІІІ-ІV рівнів акредитації (університетами, академіями, інститутами)</t>
  </si>
  <si>
    <t>Підвищення кваліфікації, перепідготовка кадрів закладами післядипломної освіти</t>
  </si>
  <si>
    <t>0600000</t>
  </si>
  <si>
    <t>0611040</t>
  </si>
  <si>
    <t>0611060</t>
  </si>
  <si>
    <t>0611070</t>
  </si>
  <si>
    <t>0611080</t>
  </si>
  <si>
    <t>0611090</t>
  </si>
  <si>
    <t>0611110</t>
  </si>
  <si>
    <t>0611120</t>
  </si>
  <si>
    <t>0611130</t>
  </si>
  <si>
    <t>0611140</t>
  </si>
  <si>
    <t>0611160</t>
  </si>
  <si>
    <t>0613140</t>
  </si>
  <si>
    <t>0615010</t>
  </si>
  <si>
    <t>0615011</t>
  </si>
  <si>
    <t>0615012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</si>
  <si>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</si>
  <si>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</si>
  <si>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9210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</si>
  <si>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</si>
  <si>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9220</t>
  </si>
  <si>
    <t>9230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</si>
  <si>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</si>
  <si>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9250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</si>
  <si>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</si>
  <si>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9260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</si>
  <si>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</si>
  <si>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9270</t>
  </si>
  <si>
    <t>9130</t>
  </si>
  <si>
    <t>8700</t>
  </si>
  <si>
    <t>0150</t>
  </si>
  <si>
    <t>0110150</t>
  </si>
  <si>
    <t xml:space="preserve">Інші субвенції з місцевого бюджету </t>
  </si>
  <si>
    <t>9770</t>
  </si>
  <si>
    <t>Забезпечення діяльності інших закладів у сфері освіти</t>
  </si>
  <si>
    <t>0611161</t>
  </si>
  <si>
    <t>Фінансова підтримка театрів 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</si>
  <si>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</si>
  <si>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</si>
  <si>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</si>
  <si>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i виставок</t>
  </si>
  <si>
    <t>1000000</t>
  </si>
  <si>
    <t>1010000</t>
  </si>
  <si>
    <t>Забезпечення діяльності заповідників</t>
  </si>
  <si>
    <t>4050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</si>
  <si>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</si>
  <si>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</si>
  <si>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4081</t>
  </si>
  <si>
    <t>Інші заходи в галузі культури і мистецтва</t>
  </si>
  <si>
    <t>4082</t>
  </si>
  <si>
    <t xml:space="preserve">Підготовка кадрів вищими навчальними закладами І-ІІ рівнів акредитації (коледжами, технікумами, училищами) </t>
  </si>
  <si>
    <t>8340</t>
  </si>
  <si>
    <t>Природоохоронні заходи за рахунок цільових фондів (Обласний фонд охорони навколишнього природного середовища)</t>
  </si>
  <si>
    <t>0718340</t>
  </si>
  <si>
    <t>Утримання та розвиток автомобільних доріг та дорожньої інфраструктури</t>
  </si>
  <si>
    <t>3719130</t>
  </si>
  <si>
    <t>3719230</t>
  </si>
  <si>
    <t>3719210</t>
  </si>
  <si>
    <t>3719220</t>
  </si>
  <si>
    <t>3719250</t>
  </si>
  <si>
    <t>3719770</t>
  </si>
  <si>
    <t>3710000</t>
  </si>
  <si>
    <t>3718700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</si>
  <si>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</si>
  <si>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</si>
  <si>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3190</t>
  </si>
  <si>
    <t>3192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</si>
  <si>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</si>
  <si>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</si>
  <si>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</si>
  <si>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</si>
  <si>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0813100</t>
  </si>
  <si>
    <t>0813101</t>
  </si>
  <si>
    <t>0813102</t>
  </si>
  <si>
    <t>0813190</t>
  </si>
  <si>
    <t>0813192</t>
  </si>
  <si>
    <t>3241</t>
  </si>
  <si>
    <t>0813241</t>
  </si>
  <si>
    <t>3242</t>
  </si>
  <si>
    <t>0813242</t>
  </si>
  <si>
    <t>0813240</t>
  </si>
  <si>
    <t>0900000</t>
  </si>
  <si>
    <t>0910000</t>
  </si>
  <si>
    <t>0913110</t>
  </si>
  <si>
    <t>0913111</t>
  </si>
  <si>
    <t>0913112</t>
  </si>
  <si>
    <t>0700000</t>
  </si>
  <si>
    <t>0710000</t>
  </si>
  <si>
    <t>0711120</t>
  </si>
  <si>
    <t>0712010</t>
  </si>
  <si>
    <t>0712060</t>
  </si>
  <si>
    <t>0712070</t>
  </si>
  <si>
    <t>0712090</t>
  </si>
  <si>
    <t>0712100</t>
  </si>
  <si>
    <t>0712130</t>
  </si>
  <si>
    <t>0712020</t>
  </si>
  <si>
    <t>2020</t>
  </si>
  <si>
    <t>Санаторно-курортна допомога населенню</t>
  </si>
  <si>
    <t>0712040</t>
  </si>
  <si>
    <t>2040</t>
  </si>
  <si>
    <t>0712050</t>
  </si>
  <si>
    <t>2050</t>
  </si>
  <si>
    <t>Екстрена та швидка медична допомога населенню</t>
  </si>
  <si>
    <t>Спеціалізована амбулаторно-поліклінічна допомога населенню</t>
  </si>
  <si>
    <t>Стоматологічна допомога населенню</t>
  </si>
  <si>
    <t>Інформаційно-методичне та просвітницьке забезпечення в галузі охорони здоров'я</t>
  </si>
  <si>
    <t>0712120</t>
  </si>
  <si>
    <t>2120</t>
  </si>
  <si>
    <t>Проведення належної медико-соціальної експертизи (МСЕК)</t>
  </si>
  <si>
    <t>Інші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</si>
  <si>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</si>
  <si>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</si>
  <si>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2151</t>
  </si>
  <si>
    <t>0712151</t>
  </si>
  <si>
    <t>2152</t>
  </si>
  <si>
    <t>0712152</t>
  </si>
  <si>
    <t>0712150</t>
  </si>
  <si>
    <t>4030</t>
  </si>
  <si>
    <t>0714030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</si>
  <si>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</si>
  <si>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3719460</t>
  </si>
  <si>
    <t>9460</t>
  </si>
  <si>
    <t>3719410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</si>
  <si>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</si>
  <si>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</si>
  <si>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Утримання та забезпечення діяльності центрів соціальних служб для сім’ї, дітей та молоді</t>
  </si>
  <si>
    <t>3240</t>
  </si>
  <si>
    <t>Забезпечення підготовки спортсменів школами вищої спортивної майстерності</t>
  </si>
  <si>
    <t>Інші заходи у сфері засобів масової інформації</t>
  </si>
  <si>
    <t>8420</t>
  </si>
  <si>
    <t>0113240</t>
  </si>
  <si>
    <t>0113242</t>
  </si>
  <si>
    <t>0110180</t>
  </si>
  <si>
    <t>Інша діяльність у сфері державного управління</t>
  </si>
  <si>
    <t>2300000</t>
  </si>
  <si>
    <t>2310000</t>
  </si>
  <si>
    <t>2318420</t>
  </si>
  <si>
    <t>0830</t>
  </si>
  <si>
    <t>0813200</t>
  </si>
  <si>
    <t>3200</t>
  </si>
  <si>
    <t xml:space="preserve">Розподіл видатків обласного бюджету на 2018 рік </t>
  </si>
  <si>
    <t>0610000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</si>
  <si>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</si>
  <si>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4040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</si>
  <si>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</si>
  <si>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3719200</t>
  </si>
  <si>
    <t>9200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</si>
  <si>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</si>
  <si>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3719400</t>
  </si>
  <si>
    <t>9400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</si>
  <si>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</si>
  <si>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3719700</t>
  </si>
  <si>
    <t>9700</t>
  </si>
  <si>
    <t>Здійснення заходів та реалізація проектів на виконання Державної цільової соціальної програми "Молодь України"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</si>
  <si>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</si>
  <si>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</si>
  <si>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</si>
  <si>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 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</si>
  <si>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</si>
  <si>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Утримання та розвиток автомобільних доріг та дорожньої інфраструктури за рахунок коштів місцевого бюджету</t>
  </si>
  <si>
    <t>Інші програми та заходи, пов'язані з економічною діяльністю</t>
  </si>
  <si>
    <t>0117680</t>
  </si>
  <si>
    <t>0117600</t>
  </si>
  <si>
    <t>7680</t>
  </si>
  <si>
    <t>0490</t>
  </si>
  <si>
    <t>Членські внески до асоціацій органів місцевого самоврядування</t>
  </si>
  <si>
    <t>Дотації з місцевого бюджету іншим бюджетам</t>
  </si>
  <si>
    <t>Міжбюджетні трансферти</t>
  </si>
  <si>
    <t>"Про внесення змін до обласного бюджету на 2018 рік"</t>
  </si>
  <si>
    <t>7430</t>
  </si>
  <si>
    <t>0454</t>
  </si>
  <si>
    <t>Утримання та розвиток місцевих аеропортів</t>
  </si>
  <si>
    <t>7460</t>
  </si>
  <si>
    <t>7464</t>
  </si>
  <si>
    <t>7630</t>
  </si>
  <si>
    <t>0470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</si>
  <si>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</si>
  <si>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</si>
  <si>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</si>
  <si>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0421</t>
  </si>
  <si>
    <t xml:space="preserve">Реалізація програм в галузі сільського господарства </t>
  </si>
  <si>
    <t>7360</t>
  </si>
  <si>
    <t>7363</t>
  </si>
  <si>
    <t>0617360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</si>
  <si>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</si>
  <si>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</si>
  <si>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інвестиційних проектів</t>
  </si>
  <si>
    <t>0717360</t>
  </si>
  <si>
    <t>0717363</t>
  </si>
  <si>
    <t>7320</t>
  </si>
  <si>
    <t>7324</t>
  </si>
  <si>
    <t>0443</t>
  </si>
  <si>
    <t>Будівництво об'єктів соціально-культурного призначення</t>
  </si>
  <si>
    <t>Будівництво установ та закладів культури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</si>
  <si>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</si>
  <si>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</si>
  <si>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 xml:space="preserve">Реалізація державних та місцевих житлових програм </t>
  </si>
  <si>
    <t>0117670</t>
  </si>
  <si>
    <t>7670</t>
  </si>
  <si>
    <t>Внески до статутного капіталу суб’єктів господарювання</t>
  </si>
  <si>
    <t>3719570</t>
  </si>
  <si>
    <t>9570</t>
  </si>
  <si>
    <t>9740</t>
  </si>
  <si>
    <t>9750</t>
  </si>
  <si>
    <t>3719750</t>
  </si>
  <si>
    <t>3719740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</si>
  <si>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</si>
  <si>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3719500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</si>
  <si>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</si>
  <si>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</si>
  <si>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Субвенція з місцевого бюджету на співфінансування інвестиційних проектів</t>
  </si>
  <si>
    <t>Субвенція з місцевого бюджету на здійснення природоохоронних заходів (Обласний фонд охорони навколишнього природного середовища)</t>
  </si>
  <si>
    <t>8110</t>
  </si>
  <si>
    <t>Заходи із запобігання та ліквідації надзвичайних ситуацій та наслідків стихійного лиха</t>
  </si>
  <si>
    <t>0320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</si>
  <si>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</si>
  <si>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</si>
  <si>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 (Комплексна програма профілактики правопорушень та боротьби зі злочинністю на території Хмельницької області на 2016-2020 роки)</t>
  </si>
  <si>
    <t>Субвенція з місцевого бюджету державному бюджету на виконання програм соціально-економічного розвитку регіонів (Обласна програма правової освіти населення на 2016 - 2020 роки)</t>
  </si>
  <si>
    <t>Субвенція з місцевого бюджету державному бюджету на виконання програм соціально-економічного розвитку регіонів (Програма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2016 - 2019 роки)</t>
  </si>
  <si>
    <t>Субвенція з місцевого бюджету державному бюджету на виконання програм соціально-економічного розвитку регіонів (Програма впровадження державної політики органами виконавчої влади у сфері державного фінансового контролю у Хмельницькій області на 2017 - 2020 роки)</t>
  </si>
  <si>
    <t>Субвенція з місцевого бюджету державному бюджету на виконання програм соціально-економічного розвитку регіонів (Цільова програма захисту населення і територій від надзвичайних ситуацій техногенного та природного характеру у Хмельницькій області на 2014-2018 роки)</t>
  </si>
  <si>
    <t>Субвенція з місцевого бюджету державному бюджету на виконання програм соціально-економічного розвитку регіонів (Програма забезпечення надходжень до бюджетів усіх рівнів, створення сприятливих умов платникам податків та належного їх обслуговування на 2017 - 2021 роки)</t>
  </si>
  <si>
    <t>Субвенція з місцевого бюджету державному бюджету на виконання програм соціально-економічного розвитку регіонів (Програма впровадження державної політики органами виконавчої влади у сфері казначейського облслуговування бюджетних коштів у Хмельницькій області на 2017 - 2018 роки)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</si>
  <si>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</si>
  <si>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3719620</t>
  </si>
  <si>
    <t>9620</t>
  </si>
  <si>
    <t>0717320</t>
  </si>
  <si>
    <t>0717322</t>
  </si>
  <si>
    <t>7322</t>
  </si>
  <si>
    <t>Будівництво медичних установ та закладів</t>
  </si>
  <si>
    <t>0717361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</si>
  <si>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</si>
  <si>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</si>
  <si>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</si>
  <si>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9300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</si>
  <si>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</si>
  <si>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</si>
  <si>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9330</t>
  </si>
  <si>
    <r>
      <t>Департамент агропромислового розвитку ОДА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(головний розпорядник)</t>
    </r>
  </si>
  <si>
    <r>
      <t>Департамент агропромислового розвитку ОДА</t>
    </r>
    <r>
      <rPr>
        <sz val="10"/>
        <rFont val="Times New Roman"/>
        <family val="1"/>
        <charset val="204"/>
      </rPr>
      <t xml:space="preserve"> (відповідальний виконавець)</t>
    </r>
  </si>
  <si>
    <r>
      <t xml:space="preserve">Департамент економічного розвитку, промисловості та інфраструктури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</si>
  <si>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Департамент економічного розвитку, промисловості та інфраструктури ОДА 
</t>
    </r>
    <r>
      <rPr>
        <sz val="10"/>
        <rFont val="Times New Roman"/>
        <family val="1"/>
        <charset val="204"/>
      </rPr>
      <t>(відповідальний виконавець)</t>
    </r>
    <r>
      <rPr>
        <b/>
        <sz val="10"/>
        <rFont val="Times New Roman"/>
        <family val="1"/>
        <charset val="204"/>
      </rPr>
      <t xml:space="preserve"> </t>
    </r>
  </si>
  <si>
    <r>
      <t xml:space="preserve">Управління з питань цивільного захисту населення ОДА </t>
    </r>
    <r>
      <rPr>
        <sz val="10"/>
        <rFont val="Times New Roman"/>
        <family val="1"/>
        <charset val="204"/>
      </rPr>
      <t>(головний розпорядник)</t>
    </r>
  </si>
  <si>
    <r>
      <t xml:space="preserve">Управління з питань цивільного захисту населення ОДА </t>
    </r>
    <r>
      <rPr>
        <sz val="10"/>
        <rFont val="Times New Roman"/>
        <family val="1"/>
        <charset val="204"/>
      </rPr>
      <t xml:space="preserve">(відповідальний виконавець) </t>
    </r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</si>
  <si>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</si>
  <si>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r>
      <t xml:space="preserve">Управління регіонального розвитку та будівництва ОДА </t>
    </r>
    <r>
      <rPr>
        <b/>
        <i/>
        <sz val="10"/>
        <rFont val="Times New Roman"/>
        <family val="1"/>
        <charset val="204"/>
      </rPr>
      <t>(головний розпорядник)</t>
    </r>
  </si>
  <si>
    <r>
      <t xml:space="preserve">Управління регіонального розвитку та будівництва ОДА </t>
    </r>
    <r>
      <rPr>
        <b/>
        <i/>
        <sz val="10"/>
        <rFont val="Times New Roman"/>
        <family val="1"/>
        <charset val="204"/>
      </rPr>
      <t>(відповідальний виконавець)</t>
    </r>
  </si>
  <si>
    <t>Субвенція з місцевого бюджету за рахунок залишку коштів освітньої субвенції, що утворився на початок бюджетного періоду (Придбання шкільних автобусів)</t>
  </si>
  <si>
    <t>Субвенція з місцевого бюджету за рахунок залишку коштів освітньої субвенції, що утворився на початок бюджетного періоду (Придбання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мов)</t>
  </si>
  <si>
    <t>Субвенція з місцевого бюджету за рахунок залишку коштів освітньої субвенції, що утворився на початок бюджетного періоду (Придбання персонального компютера/ноутбука та техніки для друкування, копіювання, сканування та ламінування з витратними матеріалами для початкової школи)</t>
  </si>
  <si>
    <t>Субвенція з місцевого бюджету за рахунок залишку коштів освітньої субвенції, що утворився на початок бюджетного періоду (Оснащення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</si>
  <si>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за рахунок залишку коштів освітньої субвенції, що утворився на початок бюджетного періоду (Придбання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них, для шкіл з навчанням румунською та угорською мовами))</t>
  </si>
  <si>
    <t>Утримання та розвиток автомобільних доріг та дорожньої інфраструктури за рахунок субвенції з  державного бюджету (Обласний територіальний дорожній фонд)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</si>
  <si>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(підтримка осіб з особливими освітніми потребами (видатки споживання))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</si>
  <si>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(оснащення кабінетів інклюзивно-ресурсних центрів (видатки розвитку))</t>
  </si>
  <si>
    <t>Будівництво освітніх установ та закладів</t>
  </si>
  <si>
    <t>0617321</t>
  </si>
  <si>
    <t>7321</t>
  </si>
  <si>
    <t>0617320</t>
  </si>
  <si>
    <t>7340</t>
  </si>
  <si>
    <t>Проектування, реставрація та охорона пам'яток архітектури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</si>
  <si>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</si>
  <si>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9600</t>
  </si>
  <si>
    <t>3719600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</si>
  <si>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</si>
  <si>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3719610</t>
  </si>
  <si>
    <t>9610</t>
  </si>
  <si>
    <t>від ___ вересня 2018 року 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</si>
  <si>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</si>
  <si>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9350</t>
  </si>
  <si>
    <t>813048</t>
  </si>
  <si>
    <t>3048</t>
  </si>
  <si>
    <t>Надання при народженні дитини одноразової натуральної допомоги "пакунок малюка"</t>
  </si>
  <si>
    <t>3719241</t>
  </si>
  <si>
    <t>9241</t>
  </si>
  <si>
    <t>3719243</t>
  </si>
  <si>
    <t>9243</t>
  </si>
  <si>
    <t>3719240</t>
  </si>
  <si>
    <t>9240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</si>
  <si>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</si>
  <si>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7461</t>
  </si>
  <si>
    <t>Субвенція з місцевого бюджету державному бюджету на виконання програм соціально-економічного розвитку регіонів (Програма сприяння якісній бойовій підготовці військової частини 3053 Національної гвардії України, яка розташована на території Хмельницької області, на 2018 рік)</t>
  </si>
  <si>
    <t>Субвенція з місцевого бюджету державному бюджету на виконання програм соціально-економічного розвитку регіонів (Програма забезпечення антитерористичного та протидиверсійного захисту важливих державних, військових об’єктів, місць масового перебування людей, об’єктів критичної та транспортної інфраструктури 
Хмельницької області на 2018 – 2019 роки)</t>
  </si>
  <si>
    <t>Субвенція з місцевого бюджету державному бюджету на виконання програм соціально-економічного розвитку регіонів (Обласна програма розвитку архівної справи на 2018–2021 роки)</t>
  </si>
  <si>
    <t>200 -соцек</t>
  </si>
  <si>
    <t>24505000 - субвенція</t>
  </si>
  <si>
    <t xml:space="preserve"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 </t>
  </si>
  <si>
    <t xml:space="preserve"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
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</si>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</sst>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_-* #,##0.00\ &quot;грн.&quot;_-;\-* #,##0.00\ &quot;грн.&quot;_-;_-* &quot;-&quot;??\ &quot;грн.&quot;_-;_-@_-"/>
    <numFmt numFmtId="180" formatCode="#,##0.0"/>
    <numFmt numFmtId="185" formatCode="0.0"/>
  </numFmts>
  <fonts count="21" x14ac:knownFonts="1">
    <font>
      <sz val="10"/>
      <color indexed="8"/>
      <name val="MS Sans Serif"/>
      <charset val="204"/>
    </font>
    <font>
      <b/>
      <sz val="8.0500000000000007"/>
      <color indexed="8"/>
      <name val="Times New Roman"/>
      <charset val="204"/>
    </font>
    <font>
      <u/>
      <sz val="11.5"/>
      <color indexed="12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78" fontId="1" fillId="0" borderId="0" applyFont="0" applyFill="0" applyBorder="0" applyAlignment="0" applyProtection="0"/>
  </cellStyleXfs>
  <cellXfs count="172">
    <xf numFmtId="0" fontId="0" fillId="0" borderId="0" xfId="0" applyNumberFormat="1" applyFill="1" applyBorder="1" applyAlignment="1" applyProtection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85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85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85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85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2" fontId="4" fillId="0" borderId="4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85" fontId="6" fillId="0" borderId="2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185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3" fontId="6" fillId="0" borderId="1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12" fillId="0" borderId="0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178" fontId="4" fillId="0" borderId="0" xfId="2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horizontal="center" vertical="center"/>
    </xf>
    <xf numFmtId="180" fontId="4" fillId="0" borderId="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15" fillId="0" borderId="0" xfId="0" applyNumberFormat="1" applyFont="1" applyFill="1" applyBorder="1" applyAlignment="1" applyProtection="1">
      <alignment vertical="center"/>
    </xf>
    <xf numFmtId="4" fontId="16" fillId="0" borderId="0" xfId="0" applyNumberFormat="1" applyFont="1" applyFill="1" applyBorder="1" applyAlignment="1" applyProtection="1">
      <alignment vertical="center"/>
    </xf>
    <xf numFmtId="4" fontId="16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/>
    <xf numFmtId="4" fontId="12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vertical="center"/>
    </xf>
    <xf numFmtId="4" fontId="18" fillId="0" borderId="0" xfId="0" applyNumberFormat="1" applyFont="1" applyFill="1" applyBorder="1" applyAlignment="1" applyProtection="1">
      <alignment vertical="center"/>
    </xf>
    <xf numFmtId="4" fontId="19" fillId="0" borderId="0" xfId="0" applyNumberFormat="1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 applyProtection="1">
      <alignment vertical="center"/>
    </xf>
    <xf numFmtId="4" fontId="18" fillId="0" borderId="0" xfId="0" applyNumberFormat="1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0" xfId="0" applyNumberFormat="1" applyFont="1" applyFill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178" fontId="10" fillId="0" borderId="0" xfId="2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 shrinkToFit="1"/>
    </xf>
    <xf numFmtId="0" fontId="9" fillId="0" borderId="8" xfId="0" applyNumberFormat="1" applyFont="1" applyFill="1" applyBorder="1" applyAlignment="1" applyProtection="1">
      <alignment horizontal="center" vertical="center" wrapText="1" shrinkToFit="1"/>
    </xf>
    <xf numFmtId="0" fontId="9" fillId="0" borderId="5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 shrinkToFit="1"/>
    </xf>
    <xf numFmtId="0" fontId="6" fillId="0" borderId="8" xfId="0" applyNumberFormat="1" applyFont="1" applyFill="1" applyBorder="1" applyAlignment="1" applyProtection="1">
      <alignment horizontal="center" vertical="center" wrapText="1" shrinkToFit="1"/>
    </xf>
    <xf numFmtId="0" fontId="6" fillId="0" borderId="5" xfId="0" applyNumberFormat="1" applyFont="1" applyFill="1" applyBorder="1" applyAlignment="1" applyProtection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9" xfId="0" applyNumberFormat="1" applyFont="1" applyFill="1" applyBorder="1" applyAlignment="1" applyProtection="1">
      <alignment horizontal="center" vertical="center" wrapText="1" shrinkToFit="1"/>
    </xf>
    <xf numFmtId="0" fontId="4" fillId="0" borderId="3" xfId="0" applyNumberFormat="1" applyFont="1" applyFill="1" applyBorder="1" applyAlignment="1" applyProtection="1">
      <alignment horizontal="center" vertical="center" wrapText="1" shrinkToFit="1"/>
    </xf>
  </cellXfs>
  <cellStyles count="3">
    <cellStyle name="Гіперпосилання" xfId="1" builtinId="8"/>
    <cellStyle name="Грошовий" xfId="2" builtinId="4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214"/>
  <sheetViews>
    <sheetView tabSelected="1" view="pageBreakPreview" zoomScale="75" zoomScaleNormal="75" zoomScaleSheetLayoutView="75" workbookViewId="0">
      <pane xSplit="4" ySplit="12" topLeftCell="E201" activePane="bottomRight" state="frozen"/>
      <selection pane="topRight" activeCell="F1" sqref="F1"/>
      <selection pane="bottomLeft" activeCell="A14" sqref="A14"/>
      <selection pane="bottomRight" activeCell="I209" sqref="I209"/>
    </sheetView>
  </sheetViews>
  <sheetFormatPr defaultColWidth="11.42578125" defaultRowHeight="18.75" x14ac:dyDescent="0.2"/>
  <cols>
    <col min="1" max="3" width="8.85546875" style="5" customWidth="1"/>
    <col min="4" max="4" width="35.140625" style="5" customWidth="1"/>
    <col min="5" max="5" width="16.7109375" style="31" customWidth="1"/>
    <col min="6" max="6" width="15" style="31" customWidth="1"/>
    <col min="7" max="7" width="13.7109375" style="31" customWidth="1"/>
    <col min="8" max="8" width="15" style="31" customWidth="1"/>
    <col min="9" max="9" width="13.85546875" style="5" customWidth="1"/>
    <col min="10" max="10" width="15.85546875" style="31" customWidth="1"/>
    <col min="11" max="11" width="14.42578125" style="31" customWidth="1"/>
    <col min="12" max="12" width="14.28515625" style="31" customWidth="1"/>
    <col min="13" max="13" width="12.28515625" style="31" customWidth="1"/>
    <col min="14" max="14" width="14.85546875" style="31" customWidth="1"/>
    <col min="15" max="15" width="14.28515625" style="31" customWidth="1"/>
    <col min="16" max="16" width="16.42578125" style="116" customWidth="1"/>
    <col min="17" max="19" width="13.42578125" style="5" hidden="1" customWidth="1"/>
    <col min="20" max="20" width="16.42578125" style="5" hidden="1" customWidth="1"/>
    <col min="21" max="21" width="13.42578125" style="5" hidden="1" customWidth="1"/>
    <col min="22" max="24" width="0" style="5" hidden="1" customWidth="1"/>
    <col min="25" max="25" width="17.7109375" style="123" customWidth="1"/>
    <col min="26" max="26" width="19.42578125" style="138" customWidth="1"/>
    <col min="27" max="16384" width="11.42578125" style="5"/>
  </cols>
  <sheetData>
    <row r="1" spans="1:26" ht="20.45" customHeight="1" x14ac:dyDescent="0.2">
      <c r="L1" s="151" t="s">
        <v>140</v>
      </c>
      <c r="M1" s="151"/>
      <c r="N1" s="151"/>
      <c r="O1" s="151"/>
      <c r="P1" s="151"/>
      <c r="Q1" s="22"/>
      <c r="R1" s="22"/>
      <c r="S1" s="22"/>
    </row>
    <row r="2" spans="1:26" x14ac:dyDescent="0.2">
      <c r="L2" s="152" t="s">
        <v>8</v>
      </c>
      <c r="M2" s="152"/>
      <c r="N2" s="152"/>
      <c r="O2" s="152"/>
      <c r="P2" s="152"/>
      <c r="Q2" s="31"/>
      <c r="R2" s="31"/>
      <c r="S2" s="31"/>
    </row>
    <row r="3" spans="1:26" ht="19.899999999999999" customHeight="1" x14ac:dyDescent="0.2">
      <c r="L3" s="153" t="s">
        <v>316</v>
      </c>
      <c r="M3" s="153"/>
      <c r="N3" s="153"/>
      <c r="O3" s="153"/>
      <c r="P3" s="153"/>
      <c r="Q3" s="31"/>
      <c r="R3" s="31"/>
      <c r="S3" s="31"/>
    </row>
    <row r="4" spans="1:26" ht="27" customHeight="1" x14ac:dyDescent="0.2">
      <c r="L4" s="154" t="s">
        <v>416</v>
      </c>
      <c r="M4" s="154"/>
      <c r="N4" s="154"/>
      <c r="O4" s="154"/>
      <c r="P4" s="154"/>
      <c r="Q4" s="117"/>
      <c r="R4" s="117"/>
      <c r="S4" s="117"/>
    </row>
    <row r="5" spans="1:26" x14ac:dyDescent="0.2">
      <c r="N5" s="58"/>
      <c r="O5" s="58"/>
      <c r="P5" s="115"/>
      <c r="Q5" s="17"/>
      <c r="R5" s="17"/>
      <c r="S5" s="17"/>
    </row>
    <row r="6" spans="1:26" ht="20.45" customHeight="1" x14ac:dyDescent="0.2">
      <c r="A6" s="155" t="s">
        <v>288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52"/>
      <c r="R6" s="52"/>
      <c r="S6" s="52"/>
    </row>
    <row r="7" spans="1:26" x14ac:dyDescent="0.2">
      <c r="P7" s="85" t="s">
        <v>105</v>
      </c>
      <c r="Q7" s="18"/>
      <c r="R7" s="18"/>
      <c r="S7" s="18"/>
    </row>
    <row r="8" spans="1:26" ht="13.15" customHeight="1" x14ac:dyDescent="0.2">
      <c r="A8" s="156" t="s">
        <v>21</v>
      </c>
      <c r="B8" s="156" t="s">
        <v>24</v>
      </c>
      <c r="C8" s="156" t="s">
        <v>25</v>
      </c>
      <c r="D8" s="163" t="s">
        <v>106</v>
      </c>
      <c r="E8" s="169" t="s">
        <v>103</v>
      </c>
      <c r="F8" s="170"/>
      <c r="G8" s="170"/>
      <c r="H8" s="170"/>
      <c r="I8" s="171"/>
      <c r="J8" s="159" t="s">
        <v>104</v>
      </c>
      <c r="K8" s="159"/>
      <c r="L8" s="159"/>
      <c r="M8" s="159"/>
      <c r="N8" s="159"/>
      <c r="O8" s="159"/>
      <c r="P8" s="166" t="s">
        <v>5</v>
      </c>
      <c r="Q8" s="31"/>
      <c r="R8" s="31"/>
      <c r="S8" s="31"/>
    </row>
    <row r="9" spans="1:26" x14ac:dyDescent="0.2">
      <c r="A9" s="157"/>
      <c r="B9" s="157"/>
      <c r="C9" s="157"/>
      <c r="D9" s="164"/>
      <c r="E9" s="150" t="s">
        <v>0</v>
      </c>
      <c r="F9" s="160" t="s">
        <v>22</v>
      </c>
      <c r="G9" s="150" t="s">
        <v>1</v>
      </c>
      <c r="H9" s="150"/>
      <c r="I9" s="160" t="s">
        <v>23</v>
      </c>
      <c r="J9" s="159" t="s">
        <v>0</v>
      </c>
      <c r="K9" s="160" t="s">
        <v>22</v>
      </c>
      <c r="L9" s="150" t="s">
        <v>1</v>
      </c>
      <c r="M9" s="150"/>
      <c r="N9" s="160" t="s">
        <v>23</v>
      </c>
      <c r="O9" s="53" t="s">
        <v>1</v>
      </c>
      <c r="P9" s="167"/>
      <c r="Q9" s="31"/>
      <c r="R9" s="31"/>
      <c r="S9" s="31"/>
    </row>
    <row r="10" spans="1:26" x14ac:dyDescent="0.2">
      <c r="A10" s="157"/>
      <c r="B10" s="157"/>
      <c r="C10" s="157"/>
      <c r="D10" s="165"/>
      <c r="E10" s="150"/>
      <c r="F10" s="161"/>
      <c r="G10" s="150" t="s">
        <v>2</v>
      </c>
      <c r="H10" s="150" t="s">
        <v>3</v>
      </c>
      <c r="I10" s="161"/>
      <c r="J10" s="159"/>
      <c r="K10" s="161"/>
      <c r="L10" s="150" t="s">
        <v>2</v>
      </c>
      <c r="M10" s="150" t="s">
        <v>3</v>
      </c>
      <c r="N10" s="161"/>
      <c r="O10" s="150" t="s">
        <v>4</v>
      </c>
      <c r="P10" s="167"/>
      <c r="Q10" s="31"/>
      <c r="R10" s="31"/>
      <c r="S10" s="31"/>
    </row>
    <row r="11" spans="1:26" ht="66.599999999999994" customHeight="1" x14ac:dyDescent="0.2">
      <c r="A11" s="158"/>
      <c r="B11" s="158"/>
      <c r="C11" s="158"/>
      <c r="D11" s="36" t="s">
        <v>107</v>
      </c>
      <c r="E11" s="150"/>
      <c r="F11" s="162"/>
      <c r="G11" s="150"/>
      <c r="H11" s="150"/>
      <c r="I11" s="162"/>
      <c r="J11" s="159"/>
      <c r="K11" s="162"/>
      <c r="L11" s="150"/>
      <c r="M11" s="150"/>
      <c r="N11" s="162"/>
      <c r="O11" s="150"/>
      <c r="P11" s="168"/>
      <c r="Q11" s="31"/>
      <c r="R11" s="31"/>
      <c r="S11" s="31"/>
    </row>
    <row r="12" spans="1:26" s="55" customFormat="1" x14ac:dyDescent="0.2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86" t="s">
        <v>26</v>
      </c>
      <c r="Y12" s="131"/>
      <c r="Z12" s="139"/>
    </row>
    <row r="13" spans="1:26" s="8" customFormat="1" ht="25.5" x14ac:dyDescent="0.2">
      <c r="A13" s="3" t="s">
        <v>6</v>
      </c>
      <c r="B13" s="3"/>
      <c r="C13" s="3"/>
      <c r="D13" s="23" t="s">
        <v>118</v>
      </c>
      <c r="E13" s="30">
        <f>F13+I13</f>
        <v>23396700</v>
      </c>
      <c r="F13" s="30">
        <f>F14</f>
        <v>23396700</v>
      </c>
      <c r="G13" s="30">
        <f>G14</f>
        <v>9860000</v>
      </c>
      <c r="H13" s="30">
        <f>H14</f>
        <v>2594200</v>
      </c>
      <c r="I13" s="30">
        <f>I14</f>
        <v>0</v>
      </c>
      <c r="J13" s="30">
        <f t="shared" ref="J13:J47" si="0">K13+N13</f>
        <v>4133100</v>
      </c>
      <c r="K13" s="30">
        <f>K14</f>
        <v>200000</v>
      </c>
      <c r="L13" s="30">
        <f>L14</f>
        <v>0</v>
      </c>
      <c r="M13" s="30">
        <f>M14</f>
        <v>0</v>
      </c>
      <c r="N13" s="30">
        <f>N14</f>
        <v>3933100</v>
      </c>
      <c r="O13" s="30">
        <f>O14</f>
        <v>3933100</v>
      </c>
      <c r="P13" s="30">
        <f>E13+J13</f>
        <v>27529800</v>
      </c>
      <c r="Q13" s="35">
        <v>84062428</v>
      </c>
      <c r="R13" s="35">
        <f>P13-Q13</f>
        <v>-56532628</v>
      </c>
      <c r="S13" s="35"/>
      <c r="T13" s="4">
        <v>26941590</v>
      </c>
      <c r="U13" s="7">
        <f>P13-T13</f>
        <v>588210</v>
      </c>
      <c r="V13" s="7"/>
      <c r="X13" s="7"/>
      <c r="Y13" s="132">
        <v>24471800</v>
      </c>
      <c r="Z13" s="140">
        <f>P13-Y13</f>
        <v>3058000</v>
      </c>
    </row>
    <row r="14" spans="1:26" s="8" customFormat="1" ht="38.25" x14ac:dyDescent="0.2">
      <c r="A14" s="3" t="s">
        <v>7</v>
      </c>
      <c r="B14" s="3"/>
      <c r="C14" s="3"/>
      <c r="D14" s="23" t="s">
        <v>119</v>
      </c>
      <c r="E14" s="30">
        <f>F14+I14</f>
        <v>23396700</v>
      </c>
      <c r="F14" s="30">
        <f>F15+F16+F18+F19+F21</f>
        <v>23396700</v>
      </c>
      <c r="G14" s="30">
        <f>G15+G16+G18+G19+G21</f>
        <v>9860000</v>
      </c>
      <c r="H14" s="30">
        <f>H15+H16+H18+H19+H21</f>
        <v>2594200</v>
      </c>
      <c r="I14" s="30">
        <f>I15+I16+I18+I19+I21</f>
        <v>0</v>
      </c>
      <c r="J14" s="30">
        <f t="shared" si="0"/>
        <v>4133100</v>
      </c>
      <c r="K14" s="30">
        <f>K15+K16+K18+K19+K21</f>
        <v>200000</v>
      </c>
      <c r="L14" s="30">
        <f>L15+L16+L18+L19+L21</f>
        <v>0</v>
      </c>
      <c r="M14" s="30">
        <f>M15+M16+M18+M19+M21</f>
        <v>0</v>
      </c>
      <c r="N14" s="30">
        <f>N15+N16+N18+N19+N21</f>
        <v>3933100</v>
      </c>
      <c r="O14" s="30">
        <f>O15+O16+O18+O19+O21</f>
        <v>3933100</v>
      </c>
      <c r="P14" s="30">
        <f t="shared" ref="P14:P84" si="1">E14+J14</f>
        <v>27529800</v>
      </c>
      <c r="Q14" s="35"/>
      <c r="R14" s="35">
        <f t="shared" ref="R14:R88" si="2">P14-Q14</f>
        <v>27529800</v>
      </c>
      <c r="S14" s="35"/>
      <c r="T14" s="4"/>
      <c r="U14" s="7">
        <f t="shared" ref="U14:U84" si="3">P14-T14</f>
        <v>27529800</v>
      </c>
      <c r="V14" s="7"/>
      <c r="X14" s="7"/>
      <c r="Y14" s="132"/>
      <c r="Z14" s="140"/>
    </row>
    <row r="15" spans="1:26" ht="38.25" x14ac:dyDescent="0.2">
      <c r="A15" s="6" t="s">
        <v>179</v>
      </c>
      <c r="B15" s="6" t="s">
        <v>178</v>
      </c>
      <c r="C15" s="6" t="s">
        <v>51</v>
      </c>
      <c r="D15" s="24" t="s">
        <v>52</v>
      </c>
      <c r="E15" s="21">
        <f>F15+I15</f>
        <v>17606200</v>
      </c>
      <c r="F15" s="21">
        <f>16096200+1500000+10000</f>
        <v>17606200</v>
      </c>
      <c r="G15" s="21">
        <f>8610000+1250000</f>
        <v>9860000</v>
      </c>
      <c r="H15" s="21">
        <v>2594200</v>
      </c>
      <c r="I15" s="13"/>
      <c r="J15" s="21">
        <f t="shared" si="0"/>
        <v>3978100</v>
      </c>
      <c r="K15" s="21">
        <v>200000</v>
      </c>
      <c r="L15" s="30"/>
      <c r="M15" s="21"/>
      <c r="N15" s="21">
        <f>O15</f>
        <v>3778100</v>
      </c>
      <c r="O15" s="21">
        <f>3306100+138400+333600</f>
        <v>3778100</v>
      </c>
      <c r="P15" s="30">
        <f t="shared" si="1"/>
        <v>21584300</v>
      </c>
      <c r="Q15" s="35">
        <v>10949100</v>
      </c>
      <c r="R15" s="35">
        <f t="shared" si="2"/>
        <v>10635200</v>
      </c>
      <c r="S15" s="35"/>
      <c r="T15" s="4"/>
      <c r="U15" s="7">
        <f t="shared" si="3"/>
        <v>21584300</v>
      </c>
      <c r="V15" s="7"/>
      <c r="X15" s="7"/>
    </row>
    <row r="16" spans="1:26" ht="19.899999999999999" customHeight="1" x14ac:dyDescent="0.2">
      <c r="A16" s="16" t="s">
        <v>278</v>
      </c>
      <c r="B16" s="6">
        <v>3240</v>
      </c>
      <c r="C16" s="6"/>
      <c r="D16" s="27" t="s">
        <v>216</v>
      </c>
      <c r="E16" s="21">
        <f t="shared" ref="E16:E47" si="4">F16+I16</f>
        <v>4500000</v>
      </c>
      <c r="F16" s="21">
        <f>F17</f>
        <v>4500000</v>
      </c>
      <c r="G16" s="21">
        <f>G17</f>
        <v>0</v>
      </c>
      <c r="H16" s="21">
        <f>H17</f>
        <v>0</v>
      </c>
      <c r="I16" s="21">
        <f>I17</f>
        <v>0</v>
      </c>
      <c r="J16" s="21">
        <f t="shared" si="0"/>
        <v>0</v>
      </c>
      <c r="K16" s="30">
        <f>K17</f>
        <v>0</v>
      </c>
      <c r="L16" s="21">
        <f>L17</f>
        <v>0</v>
      </c>
      <c r="M16" s="30">
        <f>M17</f>
        <v>0</v>
      </c>
      <c r="N16" s="30">
        <f>N17</f>
        <v>0</v>
      </c>
      <c r="O16" s="30">
        <f>O17</f>
        <v>0</v>
      </c>
      <c r="P16" s="30">
        <f t="shared" si="1"/>
        <v>4500000</v>
      </c>
      <c r="Q16" s="35">
        <v>500000</v>
      </c>
      <c r="R16" s="35">
        <f t="shared" si="2"/>
        <v>4000000</v>
      </c>
      <c r="S16" s="35"/>
      <c r="T16" s="4"/>
      <c r="U16" s="7">
        <f t="shared" si="3"/>
        <v>4500000</v>
      </c>
      <c r="V16" s="7"/>
      <c r="X16" s="7"/>
    </row>
    <row r="17" spans="1:26" s="45" customFormat="1" ht="37.9" customHeight="1" x14ac:dyDescent="0.2">
      <c r="A17" s="111" t="s">
        <v>279</v>
      </c>
      <c r="B17" s="38" t="s">
        <v>226</v>
      </c>
      <c r="C17" s="38" t="s">
        <v>36</v>
      </c>
      <c r="D17" s="39" t="s">
        <v>218</v>
      </c>
      <c r="E17" s="40">
        <f t="shared" si="4"/>
        <v>4500000</v>
      </c>
      <c r="F17" s="40">
        <f>3500000+1000000</f>
        <v>4500000</v>
      </c>
      <c r="G17" s="48"/>
      <c r="H17" s="48"/>
      <c r="I17" s="92"/>
      <c r="J17" s="40">
        <f t="shared" si="0"/>
        <v>0</v>
      </c>
      <c r="K17" s="48"/>
      <c r="L17" s="48"/>
      <c r="M17" s="48"/>
      <c r="N17" s="40">
        <f>O17</f>
        <v>0</v>
      </c>
      <c r="O17" s="48"/>
      <c r="P17" s="48">
        <f t="shared" si="1"/>
        <v>4500000</v>
      </c>
      <c r="Q17" s="43"/>
      <c r="R17" s="43"/>
      <c r="S17" s="43"/>
      <c r="T17" s="51"/>
      <c r="U17" s="44"/>
      <c r="V17" s="44"/>
      <c r="X17" s="44"/>
      <c r="Y17" s="133"/>
      <c r="Z17" s="141"/>
    </row>
    <row r="18" spans="1:26" ht="25.5" x14ac:dyDescent="0.2">
      <c r="A18" s="6" t="s">
        <v>280</v>
      </c>
      <c r="B18" s="6" t="s">
        <v>62</v>
      </c>
      <c r="C18" s="6" t="s">
        <v>61</v>
      </c>
      <c r="D18" s="24" t="s">
        <v>281</v>
      </c>
      <c r="E18" s="21">
        <f t="shared" si="4"/>
        <v>1171000</v>
      </c>
      <c r="F18" s="56">
        <f>1256000+170917313-2949900-3000000-106000-164967413+21000</f>
        <v>1171000</v>
      </c>
      <c r="G18" s="56"/>
      <c r="H18" s="56"/>
      <c r="I18" s="57"/>
      <c r="J18" s="21">
        <f t="shared" si="0"/>
        <v>55000</v>
      </c>
      <c r="K18" s="56"/>
      <c r="L18" s="56"/>
      <c r="M18" s="21"/>
      <c r="N18" s="21">
        <f>O18</f>
        <v>55000</v>
      </c>
      <c r="O18" s="56">
        <v>55000</v>
      </c>
      <c r="P18" s="30">
        <f t="shared" si="1"/>
        <v>1226000</v>
      </c>
      <c r="Q18" s="35">
        <v>72613328</v>
      </c>
      <c r="R18" s="35">
        <f t="shared" si="2"/>
        <v>-71387328</v>
      </c>
      <c r="S18" s="35"/>
      <c r="T18" s="4"/>
      <c r="U18" s="7">
        <f t="shared" si="3"/>
        <v>1226000</v>
      </c>
      <c r="V18" s="7"/>
      <c r="X18" s="7"/>
    </row>
    <row r="19" spans="1:26" ht="25.5" x14ac:dyDescent="0.2">
      <c r="A19" s="6" t="s">
        <v>310</v>
      </c>
      <c r="B19" s="6">
        <v>7600</v>
      </c>
      <c r="C19" s="6"/>
      <c r="D19" s="24" t="s">
        <v>308</v>
      </c>
      <c r="E19" s="21">
        <f t="shared" si="4"/>
        <v>119500</v>
      </c>
      <c r="F19" s="56">
        <f>F20</f>
        <v>119500</v>
      </c>
      <c r="G19" s="56">
        <f>G20</f>
        <v>0</v>
      </c>
      <c r="H19" s="56">
        <f>H20</f>
        <v>0</v>
      </c>
      <c r="I19" s="56">
        <f>I20</f>
        <v>0</v>
      </c>
      <c r="J19" s="21">
        <f t="shared" si="0"/>
        <v>0</v>
      </c>
      <c r="K19" s="56">
        <f>K20</f>
        <v>0</v>
      </c>
      <c r="L19" s="56">
        <f>L20</f>
        <v>0</v>
      </c>
      <c r="M19" s="56">
        <f>M20</f>
        <v>0</v>
      </c>
      <c r="N19" s="56">
        <f>N20</f>
        <v>0</v>
      </c>
      <c r="O19" s="56">
        <f>O20</f>
        <v>0</v>
      </c>
      <c r="P19" s="30">
        <f t="shared" si="1"/>
        <v>119500</v>
      </c>
      <c r="Q19" s="35"/>
      <c r="R19" s="35"/>
      <c r="S19" s="35"/>
      <c r="T19" s="4"/>
      <c r="U19" s="7"/>
      <c r="V19" s="7"/>
      <c r="X19" s="7"/>
    </row>
    <row r="20" spans="1:26" s="45" customFormat="1" ht="25.5" x14ac:dyDescent="0.2">
      <c r="A20" s="38" t="s">
        <v>309</v>
      </c>
      <c r="B20" s="38" t="s">
        <v>311</v>
      </c>
      <c r="C20" s="38" t="s">
        <v>312</v>
      </c>
      <c r="D20" s="109" t="s">
        <v>313</v>
      </c>
      <c r="E20" s="40">
        <f t="shared" si="4"/>
        <v>119500</v>
      </c>
      <c r="F20" s="67">
        <f>106000+13500</f>
        <v>119500</v>
      </c>
      <c r="G20" s="67"/>
      <c r="H20" s="67"/>
      <c r="I20" s="110"/>
      <c r="J20" s="40">
        <f t="shared" si="0"/>
        <v>0</v>
      </c>
      <c r="K20" s="67"/>
      <c r="L20" s="67"/>
      <c r="M20" s="40"/>
      <c r="N20" s="67">
        <f>N22</f>
        <v>0</v>
      </c>
      <c r="O20" s="67"/>
      <c r="P20" s="48">
        <f t="shared" si="1"/>
        <v>119500</v>
      </c>
      <c r="Q20" s="43"/>
      <c r="R20" s="43"/>
      <c r="S20" s="43"/>
      <c r="T20" s="51"/>
      <c r="U20" s="44"/>
      <c r="V20" s="44"/>
      <c r="X20" s="44"/>
      <c r="Y20" s="133"/>
      <c r="Z20" s="141"/>
    </row>
    <row r="21" spans="1:26" ht="25.5" x14ac:dyDescent="0.2">
      <c r="A21" s="6" t="s">
        <v>345</v>
      </c>
      <c r="B21" s="6" t="s">
        <v>346</v>
      </c>
      <c r="C21" s="6" t="s">
        <v>312</v>
      </c>
      <c r="D21" s="24" t="s">
        <v>347</v>
      </c>
      <c r="E21" s="21">
        <f t="shared" si="4"/>
        <v>0</v>
      </c>
      <c r="F21" s="56"/>
      <c r="G21" s="56"/>
      <c r="H21" s="56"/>
      <c r="I21" s="57"/>
      <c r="J21" s="21">
        <f t="shared" si="0"/>
        <v>100000</v>
      </c>
      <c r="K21" s="56"/>
      <c r="L21" s="56"/>
      <c r="M21" s="21"/>
      <c r="N21" s="56">
        <f>O21</f>
        <v>100000</v>
      </c>
      <c r="O21" s="56">
        <v>100000</v>
      </c>
      <c r="P21" s="30">
        <f t="shared" si="1"/>
        <v>100000</v>
      </c>
      <c r="Q21" s="35"/>
      <c r="R21" s="35"/>
      <c r="S21" s="35"/>
      <c r="T21" s="4"/>
      <c r="U21" s="7"/>
      <c r="V21" s="7"/>
      <c r="X21" s="7"/>
    </row>
    <row r="22" spans="1:26" s="8" customFormat="1" ht="45" customHeight="1" x14ac:dyDescent="0.2">
      <c r="A22" s="3" t="s">
        <v>282</v>
      </c>
      <c r="B22" s="3"/>
      <c r="C22" s="3"/>
      <c r="D22" s="28" t="s">
        <v>53</v>
      </c>
      <c r="E22" s="30">
        <f t="shared" si="4"/>
        <v>563000</v>
      </c>
      <c r="F22" s="30">
        <f t="shared" ref="F22:O22" si="5">F23</f>
        <v>563000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0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1"/>
        <v>563000</v>
      </c>
      <c r="Q22" s="35">
        <v>559000</v>
      </c>
      <c r="R22" s="35">
        <f t="shared" si="2"/>
        <v>4000</v>
      </c>
      <c r="S22" s="35"/>
      <c r="T22" s="4">
        <v>559000</v>
      </c>
      <c r="U22" s="7">
        <f t="shared" si="3"/>
        <v>4000</v>
      </c>
      <c r="V22" s="7"/>
      <c r="X22" s="7"/>
      <c r="Y22" s="132">
        <v>563000</v>
      </c>
      <c r="Z22" s="140">
        <f>P22-Y22</f>
        <v>0</v>
      </c>
    </row>
    <row r="23" spans="1:26" s="8" customFormat="1" ht="46.15" customHeight="1" x14ac:dyDescent="0.2">
      <c r="A23" s="3" t="s">
        <v>283</v>
      </c>
      <c r="B23" s="3"/>
      <c r="C23" s="3"/>
      <c r="D23" s="28" t="s">
        <v>54</v>
      </c>
      <c r="E23" s="30">
        <f t="shared" si="4"/>
        <v>563000</v>
      </c>
      <c r="F23" s="30">
        <f>SUM(F24)</f>
        <v>563000</v>
      </c>
      <c r="G23" s="30">
        <f>SUM(G24)</f>
        <v>0</v>
      </c>
      <c r="H23" s="30">
        <f>SUM(H24)</f>
        <v>0</v>
      </c>
      <c r="I23" s="30">
        <f>SUM(I24)</f>
        <v>0</v>
      </c>
      <c r="J23" s="30">
        <f t="shared" si="0"/>
        <v>0</v>
      </c>
      <c r="K23" s="30">
        <f>SUM(K24)</f>
        <v>0</v>
      </c>
      <c r="L23" s="30">
        <f>SUM(L24)</f>
        <v>0</v>
      </c>
      <c r="M23" s="30">
        <f>SUM(M24)</f>
        <v>0</v>
      </c>
      <c r="N23" s="30">
        <f>SUM(N24)</f>
        <v>0</v>
      </c>
      <c r="O23" s="30">
        <f>SUM(O24)</f>
        <v>0</v>
      </c>
      <c r="P23" s="30">
        <f t="shared" si="1"/>
        <v>563000</v>
      </c>
      <c r="Q23" s="35"/>
      <c r="R23" s="35">
        <f t="shared" si="2"/>
        <v>563000</v>
      </c>
      <c r="S23" s="35"/>
      <c r="T23" s="4"/>
      <c r="U23" s="7">
        <f t="shared" si="3"/>
        <v>563000</v>
      </c>
      <c r="V23" s="7"/>
      <c r="X23" s="7"/>
      <c r="Y23" s="132"/>
      <c r="Z23" s="140"/>
    </row>
    <row r="24" spans="1:26" ht="25.5" x14ac:dyDescent="0.2">
      <c r="A24" s="6" t="s">
        <v>284</v>
      </c>
      <c r="B24" s="6" t="s">
        <v>277</v>
      </c>
      <c r="C24" s="6" t="s">
        <v>285</v>
      </c>
      <c r="D24" s="24" t="s">
        <v>276</v>
      </c>
      <c r="E24" s="21">
        <f t="shared" si="4"/>
        <v>563000</v>
      </c>
      <c r="F24" s="95">
        <f>433000+130000</f>
        <v>563000</v>
      </c>
      <c r="G24" s="21"/>
      <c r="H24" s="21"/>
      <c r="I24" s="13"/>
      <c r="J24" s="21">
        <f t="shared" si="0"/>
        <v>0</v>
      </c>
      <c r="K24" s="21"/>
      <c r="L24" s="21"/>
      <c r="M24" s="21"/>
      <c r="N24" s="21">
        <f>O24</f>
        <v>0</v>
      </c>
      <c r="O24" s="30"/>
      <c r="P24" s="30">
        <f t="shared" si="1"/>
        <v>563000</v>
      </c>
      <c r="Q24" s="35"/>
      <c r="R24" s="35">
        <f t="shared" si="2"/>
        <v>563000</v>
      </c>
      <c r="S24" s="35"/>
      <c r="T24" s="4"/>
      <c r="U24" s="7">
        <f t="shared" si="3"/>
        <v>563000</v>
      </c>
      <c r="V24" s="7"/>
      <c r="X24" s="7"/>
    </row>
    <row r="25" spans="1:26" s="8" customFormat="1" ht="25.5" x14ac:dyDescent="0.2">
      <c r="A25" s="1" t="s">
        <v>149</v>
      </c>
      <c r="B25" s="19"/>
      <c r="C25" s="19"/>
      <c r="D25" s="28" t="s">
        <v>49</v>
      </c>
      <c r="E25" s="129">
        <f>F25+I25</f>
        <v>709160418.51999998</v>
      </c>
      <c r="F25" s="129">
        <f t="shared" ref="F25:O25" si="6">F26</f>
        <v>709160418.51999998</v>
      </c>
      <c r="G25" s="129">
        <f t="shared" si="6"/>
        <v>343086032</v>
      </c>
      <c r="H25" s="129">
        <f t="shared" si="6"/>
        <v>44110719.519999996</v>
      </c>
      <c r="I25" s="129">
        <f t="shared" si="6"/>
        <v>0</v>
      </c>
      <c r="J25" s="129">
        <f t="shared" si="0"/>
        <v>94682755</v>
      </c>
      <c r="K25" s="129">
        <f t="shared" si="6"/>
        <v>49348809</v>
      </c>
      <c r="L25" s="129">
        <f t="shared" si="6"/>
        <v>4903862</v>
      </c>
      <c r="M25" s="129">
        <f t="shared" si="6"/>
        <v>1963224</v>
      </c>
      <c r="N25" s="129">
        <f t="shared" si="6"/>
        <v>45333946</v>
      </c>
      <c r="O25" s="129">
        <f t="shared" si="6"/>
        <v>43641746</v>
      </c>
      <c r="P25" s="129">
        <f t="shared" si="1"/>
        <v>803843173.51999998</v>
      </c>
      <c r="Q25" s="35">
        <v>570362484</v>
      </c>
      <c r="R25" s="35">
        <f t="shared" si="2"/>
        <v>233480689.51999998</v>
      </c>
      <c r="S25" s="35"/>
      <c r="T25" s="4">
        <v>601111617</v>
      </c>
      <c r="U25" s="7">
        <f t="shared" si="3"/>
        <v>202731556.51999998</v>
      </c>
      <c r="V25" s="7"/>
      <c r="X25" s="7"/>
      <c r="Y25" s="132">
        <v>777289621</v>
      </c>
      <c r="Z25" s="140">
        <f>P25-Y25</f>
        <v>26553552.519999981</v>
      </c>
    </row>
    <row r="26" spans="1:26" s="8" customFormat="1" ht="25.5" x14ac:dyDescent="0.2">
      <c r="A26" s="3" t="s">
        <v>289</v>
      </c>
      <c r="B26" s="19"/>
      <c r="C26" s="19"/>
      <c r="D26" s="28" t="s">
        <v>50</v>
      </c>
      <c r="E26" s="129">
        <f t="shared" si="4"/>
        <v>709160418.51999998</v>
      </c>
      <c r="F26" s="129">
        <f>SUM(F27:F36)+F38+F39+F44+F42</f>
        <v>709160418.51999998</v>
      </c>
      <c r="G26" s="129">
        <f>SUM(G27:G36)+G38+G39+G44+G42</f>
        <v>343086032</v>
      </c>
      <c r="H26" s="129">
        <f>SUM(H27:H36)+H38+H39+H44+H42</f>
        <v>44110719.519999996</v>
      </c>
      <c r="I26" s="129">
        <f>SUM(I27:I36)+I38+I39+I44+I42</f>
        <v>0</v>
      </c>
      <c r="J26" s="129">
        <f t="shared" si="0"/>
        <v>94682755</v>
      </c>
      <c r="K26" s="129">
        <f>SUM(K27:K36)+K38+K39+K44+K42</f>
        <v>49348809</v>
      </c>
      <c r="L26" s="129">
        <f>SUM(L27:L36)+L38+L39+L44+L42</f>
        <v>4903862</v>
      </c>
      <c r="M26" s="129">
        <f>SUM(M27:M36)+M38+M39+M44+M42</f>
        <v>1963224</v>
      </c>
      <c r="N26" s="129">
        <f>SUM(N27:N36)+N38+N39+N44+N42</f>
        <v>45333946</v>
      </c>
      <c r="O26" s="129">
        <f>SUM(O27:O36)+O38+O39+O44+O42</f>
        <v>43641746</v>
      </c>
      <c r="P26" s="129">
        <f t="shared" si="1"/>
        <v>803843173.51999998</v>
      </c>
      <c r="Q26" s="35"/>
      <c r="R26" s="35">
        <f t="shared" si="2"/>
        <v>803843173.51999998</v>
      </c>
      <c r="S26" s="35"/>
      <c r="T26" s="4"/>
      <c r="U26" s="7">
        <f t="shared" si="3"/>
        <v>803843173.51999998</v>
      </c>
      <c r="V26" s="7"/>
      <c r="X26" s="7"/>
      <c r="Y26" s="132">
        <v>804564736</v>
      </c>
      <c r="Z26" s="140"/>
    </row>
    <row r="27" spans="1:26" ht="59.45" customHeight="1" x14ac:dyDescent="0.2">
      <c r="A27" s="2" t="s">
        <v>150</v>
      </c>
      <c r="B27" s="6" t="s">
        <v>28</v>
      </c>
      <c r="C27" s="6" t="s">
        <v>30</v>
      </c>
      <c r="D27" s="71" t="s">
        <v>29</v>
      </c>
      <c r="E27" s="69">
        <f t="shared" si="4"/>
        <v>60615120</v>
      </c>
      <c r="F27" s="32">
        <f>59726500+12000+2400+85213+65000+52707+91800+262600+316900</f>
        <v>60615120</v>
      </c>
      <c r="G27" s="32">
        <f>31287700+259800</f>
        <v>31547500</v>
      </c>
      <c r="H27" s="32">
        <v>5820400</v>
      </c>
      <c r="I27" s="14"/>
      <c r="J27" s="21">
        <f t="shared" si="0"/>
        <v>628675</v>
      </c>
      <c r="K27" s="32">
        <v>160387</v>
      </c>
      <c r="L27" s="32"/>
      <c r="M27" s="32">
        <v>6200</v>
      </c>
      <c r="N27" s="32">
        <f>O27</f>
        <v>468288</v>
      </c>
      <c r="O27" s="21">
        <f>84000+71719+31368+58255+189758+33188</f>
        <v>468288</v>
      </c>
      <c r="P27" s="129">
        <f t="shared" si="1"/>
        <v>61243795</v>
      </c>
      <c r="Q27" s="35"/>
      <c r="R27" s="35">
        <f t="shared" si="2"/>
        <v>61243795</v>
      </c>
      <c r="S27" s="35"/>
      <c r="T27" s="4"/>
      <c r="U27" s="7">
        <f t="shared" si="3"/>
        <v>61243795</v>
      </c>
      <c r="V27" s="7"/>
      <c r="X27" s="7"/>
      <c r="Y27" s="123">
        <v>61210607</v>
      </c>
      <c r="Z27" s="138">
        <f>P27-Y27</f>
        <v>33188</v>
      </c>
    </row>
    <row r="28" spans="1:26" ht="84.6" customHeight="1" x14ac:dyDescent="0.2">
      <c r="A28" s="2" t="s">
        <v>151</v>
      </c>
      <c r="B28" s="6" t="s">
        <v>31</v>
      </c>
      <c r="C28" s="6" t="s">
        <v>32</v>
      </c>
      <c r="D28" s="70" t="s">
        <v>306</v>
      </c>
      <c r="E28" s="21">
        <f t="shared" si="4"/>
        <v>15269303</v>
      </c>
      <c r="F28" s="32">
        <f>14428000+243600+199535+35793+11400+205700+19700+125575</f>
        <v>15269303</v>
      </c>
      <c r="G28" s="32">
        <f>7635500+16200</f>
        <v>7651700</v>
      </c>
      <c r="H28" s="32">
        <f>1026300+8300</f>
        <v>1034600</v>
      </c>
      <c r="I28" s="14"/>
      <c r="J28" s="21">
        <f t="shared" si="0"/>
        <v>50000</v>
      </c>
      <c r="K28" s="32">
        <v>50000</v>
      </c>
      <c r="L28" s="32"/>
      <c r="M28" s="32">
        <v>5000</v>
      </c>
      <c r="N28" s="32">
        <f t="shared" ref="N28:N43" si="7">O28</f>
        <v>0</v>
      </c>
      <c r="O28" s="32"/>
      <c r="P28" s="129">
        <f t="shared" si="1"/>
        <v>15319303</v>
      </c>
      <c r="Q28" s="35"/>
      <c r="R28" s="35">
        <f t="shared" si="2"/>
        <v>15319303</v>
      </c>
      <c r="S28" s="35"/>
      <c r="T28" s="4"/>
      <c r="U28" s="7">
        <f t="shared" si="3"/>
        <v>15319303</v>
      </c>
      <c r="V28" s="7"/>
      <c r="X28" s="7"/>
      <c r="Y28" s="123">
        <v>15193728</v>
      </c>
      <c r="Z28" s="138">
        <f t="shared" ref="Z28:Z45" si="8">P28-Y28</f>
        <v>125575</v>
      </c>
    </row>
    <row r="29" spans="1:26" ht="89.45" customHeight="1" x14ac:dyDescent="0.2">
      <c r="A29" s="2" t="s">
        <v>152</v>
      </c>
      <c r="B29" s="6" t="s">
        <v>33</v>
      </c>
      <c r="C29" s="6" t="s">
        <v>30</v>
      </c>
      <c r="D29" s="25" t="s">
        <v>34</v>
      </c>
      <c r="E29" s="21">
        <f t="shared" si="4"/>
        <v>135956540</v>
      </c>
      <c r="F29" s="32">
        <f>135404100-45150+164467+50000+50000+50000+2400+129940+96221+22485+27933+58640+254900+50000+37208+24980+11913+8000+776000+33318-150000-1100815</f>
        <v>135956540</v>
      </c>
      <c r="G29" s="32">
        <f>86349600-37000+636800-386319</f>
        <v>86563081</v>
      </c>
      <c r="H29" s="32">
        <f>6652800-379285</f>
        <v>6273515</v>
      </c>
      <c r="I29" s="14"/>
      <c r="J29" s="21">
        <f t="shared" si="0"/>
        <v>999218</v>
      </c>
      <c r="K29" s="32">
        <v>81548</v>
      </c>
      <c r="L29" s="32">
        <v>2000</v>
      </c>
      <c r="M29" s="32"/>
      <c r="N29" s="32">
        <f t="shared" si="7"/>
        <v>917670</v>
      </c>
      <c r="O29" s="21">
        <f>50000+24647+68971+60000+27100+42571+150000+427159+67222</f>
        <v>917670</v>
      </c>
      <c r="P29" s="129">
        <f t="shared" si="1"/>
        <v>136955758</v>
      </c>
      <c r="Q29" s="35"/>
      <c r="R29" s="35">
        <f t="shared" si="2"/>
        <v>136955758</v>
      </c>
      <c r="S29" s="35"/>
      <c r="T29" s="4"/>
      <c r="U29" s="7">
        <f t="shared" si="3"/>
        <v>136955758</v>
      </c>
      <c r="V29" s="7"/>
      <c r="X29" s="7"/>
      <c r="Y29" s="123">
        <v>137989351</v>
      </c>
      <c r="Z29" s="138">
        <f t="shared" si="8"/>
        <v>-1033593</v>
      </c>
    </row>
    <row r="30" spans="1:26" ht="126" customHeight="1" x14ac:dyDescent="0.2">
      <c r="A30" s="2" t="s">
        <v>153</v>
      </c>
      <c r="B30" s="6" t="s">
        <v>35</v>
      </c>
      <c r="C30" s="6" t="s">
        <v>30</v>
      </c>
      <c r="D30" s="25" t="s">
        <v>146</v>
      </c>
      <c r="E30" s="21">
        <f t="shared" si="4"/>
        <v>81150667</v>
      </c>
      <c r="F30" s="32">
        <f>80223800+100000+7200+4800+149923+97778+31700+455500-100000-12460+192426</f>
        <v>81150667</v>
      </c>
      <c r="G30" s="32">
        <f>39030200+373400</f>
        <v>39403600</v>
      </c>
      <c r="H30" s="21">
        <f>5817500+450000</f>
        <v>6267500</v>
      </c>
      <c r="I30" s="13"/>
      <c r="J30" s="21">
        <f t="shared" si="0"/>
        <v>7361650</v>
      </c>
      <c r="K30" s="32">
        <v>507000</v>
      </c>
      <c r="L30" s="32"/>
      <c r="M30" s="21">
        <v>36000</v>
      </c>
      <c r="N30" s="32">
        <f t="shared" si="7"/>
        <v>6854650</v>
      </c>
      <c r="O30" s="32">
        <f>8000000+198680+346195+22406+1200000+22406+200000+934400+200000+500000+100000-8000000+1000000+12460+74160+2043943</f>
        <v>6854650</v>
      </c>
      <c r="P30" s="129">
        <f t="shared" si="1"/>
        <v>88512317</v>
      </c>
      <c r="Q30" s="35"/>
      <c r="R30" s="35">
        <f t="shared" si="2"/>
        <v>88512317</v>
      </c>
      <c r="S30" s="35"/>
      <c r="T30" s="4"/>
      <c r="U30" s="7">
        <f t="shared" si="3"/>
        <v>88512317</v>
      </c>
      <c r="V30" s="7"/>
      <c r="X30" s="7"/>
      <c r="Y30" s="123">
        <v>86275948</v>
      </c>
      <c r="Z30" s="138">
        <f t="shared" si="8"/>
        <v>2236369</v>
      </c>
    </row>
    <row r="31" spans="1:26" ht="38.25" x14ac:dyDescent="0.2">
      <c r="A31" s="2" t="s">
        <v>154</v>
      </c>
      <c r="B31" s="6" t="s">
        <v>36</v>
      </c>
      <c r="C31" s="6" t="s">
        <v>37</v>
      </c>
      <c r="D31" s="25" t="s">
        <v>38</v>
      </c>
      <c r="E31" s="21">
        <f t="shared" si="4"/>
        <v>36190920</v>
      </c>
      <c r="F31" s="32">
        <f>35742800+100000+14400+2800+177197+33700+12300+325670+198000+10000-204100-325670-100000+203823</f>
        <v>36190920</v>
      </c>
      <c r="G31" s="32">
        <v>24028300</v>
      </c>
      <c r="H31" s="32">
        <f>3331150+79300</f>
        <v>3410450</v>
      </c>
      <c r="I31" s="14"/>
      <c r="J31" s="21">
        <f t="shared" si="0"/>
        <v>4539556</v>
      </c>
      <c r="K31" s="32">
        <v>961573</v>
      </c>
      <c r="L31" s="32">
        <v>347000</v>
      </c>
      <c r="M31" s="32">
        <v>66500</v>
      </c>
      <c r="N31" s="32">
        <f>O31+20000</f>
        <v>3577983</v>
      </c>
      <c r="O31" s="21">
        <f>1135515+1841492+100000+480976</f>
        <v>3557983</v>
      </c>
      <c r="P31" s="129">
        <f t="shared" si="1"/>
        <v>40730476</v>
      </c>
      <c r="Q31" s="35"/>
      <c r="R31" s="35">
        <f t="shared" si="2"/>
        <v>40730476</v>
      </c>
      <c r="S31" s="35"/>
      <c r="T31" s="4"/>
      <c r="U31" s="7">
        <f t="shared" si="3"/>
        <v>40730476</v>
      </c>
      <c r="V31" s="7"/>
      <c r="X31" s="7"/>
      <c r="Y31" s="123">
        <v>40045677</v>
      </c>
      <c r="Z31" s="138">
        <f t="shared" si="8"/>
        <v>684799</v>
      </c>
    </row>
    <row r="32" spans="1:26" ht="25.5" x14ac:dyDescent="0.2">
      <c r="A32" s="2" t="s">
        <v>155</v>
      </c>
      <c r="B32" s="6" t="s">
        <v>141</v>
      </c>
      <c r="C32" s="6" t="s">
        <v>39</v>
      </c>
      <c r="D32" s="25" t="s">
        <v>142</v>
      </c>
      <c r="E32" s="146">
        <f t="shared" si="4"/>
        <v>224883812.52000001</v>
      </c>
      <c r="F32" s="147">
        <f>221430600+3028600+154800+154800+20000+561000+29000+87694.52-1282682+700000</f>
        <v>224883812.52000001</v>
      </c>
      <c r="G32" s="32">
        <f>137775800-981649</f>
        <v>136794151</v>
      </c>
      <c r="H32" s="147">
        <f>19010460+87694.52</f>
        <v>19098154.52</v>
      </c>
      <c r="I32" s="14"/>
      <c r="J32" s="21">
        <f t="shared" si="0"/>
        <v>36968931</v>
      </c>
      <c r="K32" s="32">
        <v>16036700</v>
      </c>
      <c r="L32" s="32">
        <v>4043862</v>
      </c>
      <c r="M32" s="32">
        <v>1607784</v>
      </c>
      <c r="N32" s="32">
        <f>O32+1307200</f>
        <v>20932231</v>
      </c>
      <c r="O32" s="21">
        <f>577200+4455000+720800+52600+8811500-727624+4227117+2230000-721562</f>
        <v>19625031</v>
      </c>
      <c r="P32" s="129">
        <f t="shared" si="1"/>
        <v>261852743.52000001</v>
      </c>
      <c r="Q32" s="35"/>
      <c r="R32" s="35">
        <f t="shared" si="2"/>
        <v>261852743.52000001</v>
      </c>
      <c r="S32" s="35"/>
      <c r="T32" s="4"/>
      <c r="U32" s="7">
        <f t="shared" si="3"/>
        <v>261852743.52000001</v>
      </c>
      <c r="V32" s="7"/>
      <c r="X32" s="7"/>
      <c r="Y32" s="123">
        <v>256699870.52000001</v>
      </c>
      <c r="Z32" s="138">
        <f t="shared" si="8"/>
        <v>5152873</v>
      </c>
    </row>
    <row r="33" spans="1:26" ht="46.15" customHeight="1" x14ac:dyDescent="0.2">
      <c r="A33" s="2" t="s">
        <v>156</v>
      </c>
      <c r="B33" s="6" t="s">
        <v>63</v>
      </c>
      <c r="C33" s="6" t="s">
        <v>64</v>
      </c>
      <c r="D33" s="96" t="s">
        <v>143</v>
      </c>
      <c r="E33" s="21">
        <f t="shared" si="4"/>
        <v>51403012</v>
      </c>
      <c r="F33" s="32">
        <f>50205400+1197612</f>
        <v>51403012</v>
      </c>
      <c r="G33" s="32"/>
      <c r="H33" s="32"/>
      <c r="I33" s="14"/>
      <c r="J33" s="21">
        <f t="shared" si="0"/>
        <v>3313500</v>
      </c>
      <c r="K33" s="32">
        <v>3183500</v>
      </c>
      <c r="L33" s="32"/>
      <c r="M33" s="32"/>
      <c r="N33" s="32">
        <f>O33+130000</f>
        <v>130000</v>
      </c>
      <c r="O33" s="21"/>
      <c r="P33" s="129">
        <f t="shared" si="1"/>
        <v>54716512</v>
      </c>
      <c r="Q33" s="35"/>
      <c r="R33" s="35"/>
      <c r="S33" s="35"/>
      <c r="T33" s="4"/>
      <c r="U33" s="7"/>
      <c r="V33" s="7"/>
      <c r="X33" s="7"/>
      <c r="Y33" s="123">
        <v>53518900</v>
      </c>
      <c r="Z33" s="138">
        <f t="shared" si="8"/>
        <v>1197612</v>
      </c>
    </row>
    <row r="34" spans="1:26" ht="55.9" customHeight="1" x14ac:dyDescent="0.2">
      <c r="A34" s="2" t="s">
        <v>157</v>
      </c>
      <c r="B34" s="6" t="s">
        <v>40</v>
      </c>
      <c r="C34" s="6" t="s">
        <v>41</v>
      </c>
      <c r="D34" s="25" t="s">
        <v>147</v>
      </c>
      <c r="E34" s="21">
        <f t="shared" si="4"/>
        <v>57726700</v>
      </c>
      <c r="F34" s="32">
        <f>57167900+528800+30000</f>
        <v>57726700</v>
      </c>
      <c r="G34" s="32"/>
      <c r="H34" s="32"/>
      <c r="I34" s="14"/>
      <c r="J34" s="21">
        <f t="shared" si="0"/>
        <v>28442000</v>
      </c>
      <c r="K34" s="32">
        <v>27242000</v>
      </c>
      <c r="L34" s="32"/>
      <c r="M34" s="32"/>
      <c r="N34" s="32">
        <f>O34+200000</f>
        <v>1200000</v>
      </c>
      <c r="O34" s="21">
        <v>1000000</v>
      </c>
      <c r="P34" s="129">
        <f t="shared" si="1"/>
        <v>86168700</v>
      </c>
      <c r="Q34" s="35"/>
      <c r="R34" s="35">
        <f t="shared" si="2"/>
        <v>86168700</v>
      </c>
      <c r="S34" s="35"/>
      <c r="T34" s="4"/>
      <c r="U34" s="7">
        <f t="shared" si="3"/>
        <v>86168700</v>
      </c>
      <c r="V34" s="7"/>
      <c r="X34" s="7"/>
      <c r="Y34" s="123">
        <v>85609900</v>
      </c>
      <c r="Z34" s="138">
        <f t="shared" si="8"/>
        <v>558800</v>
      </c>
    </row>
    <row r="35" spans="1:26" s="118" customFormat="1" ht="32.450000000000003" customHeight="1" x14ac:dyDescent="0.2">
      <c r="A35" s="2" t="s">
        <v>158</v>
      </c>
      <c r="B35" s="6" t="s">
        <v>42</v>
      </c>
      <c r="C35" s="6" t="s">
        <v>43</v>
      </c>
      <c r="D35" s="27" t="s">
        <v>148</v>
      </c>
      <c r="E35" s="21">
        <f t="shared" si="4"/>
        <v>32890374</v>
      </c>
      <c r="F35" s="32">
        <f>19056600+1572146+12200128+61500</f>
        <v>32890374</v>
      </c>
      <c r="G35" s="32">
        <v>13752900</v>
      </c>
      <c r="H35" s="32">
        <f>844200+4500</f>
        <v>848700</v>
      </c>
      <c r="I35" s="14"/>
      <c r="J35" s="21">
        <f t="shared" si="0"/>
        <v>729385</v>
      </c>
      <c r="K35" s="32">
        <v>356101</v>
      </c>
      <c r="L35" s="32">
        <v>90000</v>
      </c>
      <c r="M35" s="32">
        <v>12740</v>
      </c>
      <c r="N35" s="32">
        <f>O35+35000</f>
        <v>373284</v>
      </c>
      <c r="O35" s="21">
        <f>338284</f>
        <v>338284</v>
      </c>
      <c r="P35" s="129">
        <f t="shared" si="1"/>
        <v>33619759</v>
      </c>
      <c r="Q35" s="35"/>
      <c r="R35" s="35">
        <f t="shared" si="2"/>
        <v>33619759</v>
      </c>
      <c r="S35" s="35"/>
      <c r="T35" s="4"/>
      <c r="U35" s="7">
        <f t="shared" si="3"/>
        <v>33619759</v>
      </c>
      <c r="V35" s="7"/>
      <c r="W35" s="5"/>
      <c r="X35" s="7"/>
      <c r="Y35" s="123">
        <v>23949847</v>
      </c>
      <c r="Z35" s="138">
        <f t="shared" si="8"/>
        <v>9669912</v>
      </c>
    </row>
    <row r="36" spans="1:26" ht="36" customHeight="1" x14ac:dyDescent="0.2">
      <c r="A36" s="2" t="s">
        <v>159</v>
      </c>
      <c r="B36" s="6" t="s">
        <v>144</v>
      </c>
      <c r="C36" s="6"/>
      <c r="D36" s="27" t="s">
        <v>145</v>
      </c>
      <c r="E36" s="21">
        <f t="shared" si="4"/>
        <v>6557800</v>
      </c>
      <c r="F36" s="32">
        <f>F37</f>
        <v>6557800</v>
      </c>
      <c r="G36" s="32">
        <f>G37</f>
        <v>3344800</v>
      </c>
      <c r="H36" s="32">
        <f>H37</f>
        <v>1357400</v>
      </c>
      <c r="I36" s="32">
        <f>I37</f>
        <v>0</v>
      </c>
      <c r="J36" s="21">
        <f t="shared" si="0"/>
        <v>796740</v>
      </c>
      <c r="K36" s="32">
        <f>K37</f>
        <v>770000</v>
      </c>
      <c r="L36" s="32">
        <f>L37</f>
        <v>421000</v>
      </c>
      <c r="M36" s="32">
        <f>M37</f>
        <v>229000</v>
      </c>
      <c r="N36" s="32">
        <f>N37</f>
        <v>26740</v>
      </c>
      <c r="O36" s="32">
        <f>O37</f>
        <v>26740</v>
      </c>
      <c r="P36" s="129">
        <f t="shared" si="1"/>
        <v>7354540</v>
      </c>
      <c r="Q36" s="35"/>
      <c r="R36" s="35">
        <f t="shared" si="2"/>
        <v>7354540</v>
      </c>
      <c r="S36" s="35"/>
      <c r="T36" s="4"/>
      <c r="U36" s="7">
        <f t="shared" si="3"/>
        <v>7354540</v>
      </c>
      <c r="V36" s="7"/>
      <c r="X36" s="7"/>
      <c r="Y36" s="123">
        <v>7354540</v>
      </c>
      <c r="Z36" s="138">
        <f t="shared" si="8"/>
        <v>0</v>
      </c>
    </row>
    <row r="37" spans="1:26" s="45" customFormat="1" ht="30" customHeight="1" x14ac:dyDescent="0.2">
      <c r="A37" s="37" t="s">
        <v>183</v>
      </c>
      <c r="B37" s="38">
        <v>1161</v>
      </c>
      <c r="C37" s="38" t="s">
        <v>44</v>
      </c>
      <c r="D37" s="39" t="s">
        <v>182</v>
      </c>
      <c r="E37" s="40">
        <f t="shared" si="4"/>
        <v>6557800</v>
      </c>
      <c r="F37" s="41">
        <f>6413350+45150+99300</f>
        <v>6557800</v>
      </c>
      <c r="G37" s="41">
        <f>3307800+37000</f>
        <v>3344800</v>
      </c>
      <c r="H37" s="41">
        <v>1357400</v>
      </c>
      <c r="I37" s="42"/>
      <c r="J37" s="40">
        <f t="shared" si="0"/>
        <v>796740</v>
      </c>
      <c r="K37" s="41">
        <v>770000</v>
      </c>
      <c r="L37" s="41">
        <v>421000</v>
      </c>
      <c r="M37" s="41">
        <v>229000</v>
      </c>
      <c r="N37" s="41">
        <f t="shared" si="7"/>
        <v>26740</v>
      </c>
      <c r="O37" s="40">
        <f>26740</f>
        <v>26740</v>
      </c>
      <c r="P37" s="129">
        <f t="shared" si="1"/>
        <v>7354540</v>
      </c>
      <c r="Q37" s="43"/>
      <c r="R37" s="43"/>
      <c r="S37" s="43"/>
      <c r="T37" s="51"/>
      <c r="U37" s="44"/>
      <c r="V37" s="44"/>
      <c r="X37" s="44"/>
      <c r="Y37" s="133">
        <v>7354540</v>
      </c>
      <c r="Z37" s="138">
        <f t="shared" si="8"/>
        <v>0</v>
      </c>
    </row>
    <row r="38" spans="1:26" ht="90.6" customHeight="1" x14ac:dyDescent="0.2">
      <c r="A38" s="2" t="s">
        <v>160</v>
      </c>
      <c r="B38" s="6" t="s">
        <v>95</v>
      </c>
      <c r="C38" s="6" t="s">
        <v>28</v>
      </c>
      <c r="D38" s="25" t="s">
        <v>45</v>
      </c>
      <c r="E38" s="21">
        <f t="shared" si="4"/>
        <v>4999500</v>
      </c>
      <c r="F38" s="32">
        <v>4999500</v>
      </c>
      <c r="G38" s="32"/>
      <c r="H38" s="32"/>
      <c r="I38" s="14"/>
      <c r="J38" s="21">
        <f t="shared" si="0"/>
        <v>0</v>
      </c>
      <c r="K38" s="32"/>
      <c r="L38" s="32"/>
      <c r="M38" s="32"/>
      <c r="N38" s="32">
        <f t="shared" si="7"/>
        <v>0</v>
      </c>
      <c r="O38" s="21"/>
      <c r="P38" s="129">
        <f t="shared" si="1"/>
        <v>4999500</v>
      </c>
      <c r="Q38" s="35"/>
      <c r="R38" s="35">
        <f t="shared" si="2"/>
        <v>4999500</v>
      </c>
      <c r="S38" s="35"/>
      <c r="T38" s="4"/>
      <c r="U38" s="7">
        <f t="shared" si="3"/>
        <v>4999500</v>
      </c>
      <c r="V38" s="7"/>
      <c r="X38" s="7"/>
      <c r="Y38" s="123">
        <v>4999500</v>
      </c>
      <c r="Z38" s="138">
        <f t="shared" si="8"/>
        <v>0</v>
      </c>
    </row>
    <row r="39" spans="1:26" x14ac:dyDescent="0.2">
      <c r="A39" s="2" t="s">
        <v>161</v>
      </c>
      <c r="B39" s="6" t="s">
        <v>108</v>
      </c>
      <c r="C39" s="6"/>
      <c r="D39" s="25" t="s">
        <v>110</v>
      </c>
      <c r="E39" s="21">
        <f t="shared" si="4"/>
        <v>1516670</v>
      </c>
      <c r="F39" s="32">
        <f>F40+F41</f>
        <v>1516670</v>
      </c>
      <c r="G39" s="32">
        <f>G40+G41</f>
        <v>0</v>
      </c>
      <c r="H39" s="32">
        <f>H40+H41</f>
        <v>0</v>
      </c>
      <c r="I39" s="32">
        <f>I40+I41</f>
        <v>0</v>
      </c>
      <c r="J39" s="21">
        <f t="shared" si="0"/>
        <v>0</v>
      </c>
      <c r="K39" s="32">
        <f>K40+K41</f>
        <v>0</v>
      </c>
      <c r="L39" s="32">
        <f>L40+L41</f>
        <v>0</v>
      </c>
      <c r="M39" s="32">
        <f>M40+M41</f>
        <v>0</v>
      </c>
      <c r="N39" s="32">
        <f>N40+N41</f>
        <v>0</v>
      </c>
      <c r="O39" s="32">
        <f>O40+O41</f>
        <v>0</v>
      </c>
      <c r="P39" s="129">
        <f t="shared" si="1"/>
        <v>1516670</v>
      </c>
      <c r="Q39" s="35"/>
      <c r="R39" s="35">
        <f t="shared" si="2"/>
        <v>1516670</v>
      </c>
      <c r="S39" s="35"/>
      <c r="T39" s="4"/>
      <c r="U39" s="7">
        <f t="shared" si="3"/>
        <v>1516670</v>
      </c>
      <c r="V39" s="7"/>
      <c r="X39" s="7"/>
      <c r="Y39" s="123">
        <v>1516670</v>
      </c>
      <c r="Z39" s="138">
        <f t="shared" si="8"/>
        <v>0</v>
      </c>
    </row>
    <row r="40" spans="1:26" s="45" customFormat="1" ht="38.25" x14ac:dyDescent="0.2">
      <c r="A40" s="37" t="s">
        <v>162</v>
      </c>
      <c r="B40" s="38" t="s">
        <v>46</v>
      </c>
      <c r="C40" s="38" t="s">
        <v>47</v>
      </c>
      <c r="D40" s="39" t="s">
        <v>121</v>
      </c>
      <c r="E40" s="40">
        <f t="shared" si="4"/>
        <v>1294825</v>
      </c>
      <c r="F40" s="41">
        <f>800200+204100+290525</f>
        <v>1294825</v>
      </c>
      <c r="G40" s="41"/>
      <c r="H40" s="41"/>
      <c r="I40" s="42"/>
      <c r="J40" s="40">
        <f t="shared" si="0"/>
        <v>0</v>
      </c>
      <c r="K40" s="41"/>
      <c r="L40" s="41"/>
      <c r="M40" s="41"/>
      <c r="N40" s="41">
        <f t="shared" si="7"/>
        <v>0</v>
      </c>
      <c r="O40" s="40"/>
      <c r="P40" s="129">
        <f t="shared" si="1"/>
        <v>1294825</v>
      </c>
      <c r="Q40" s="43"/>
      <c r="R40" s="35">
        <f t="shared" si="2"/>
        <v>1294825</v>
      </c>
      <c r="S40" s="43"/>
      <c r="T40" s="51"/>
      <c r="U40" s="7">
        <f t="shared" si="3"/>
        <v>1294825</v>
      </c>
      <c r="V40" s="44"/>
      <c r="X40" s="44"/>
      <c r="Y40" s="133">
        <v>1294825</v>
      </c>
      <c r="Z40" s="138">
        <f t="shared" si="8"/>
        <v>0</v>
      </c>
    </row>
    <row r="41" spans="1:26" s="45" customFormat="1" ht="38.25" x14ac:dyDescent="0.2">
      <c r="A41" s="37" t="s">
        <v>163</v>
      </c>
      <c r="B41" s="38" t="s">
        <v>97</v>
      </c>
      <c r="C41" s="38" t="s">
        <v>47</v>
      </c>
      <c r="D41" s="39" t="s">
        <v>16</v>
      </c>
      <c r="E41" s="40">
        <f t="shared" si="4"/>
        <v>221845</v>
      </c>
      <c r="F41" s="41">
        <f>186700+35145</f>
        <v>221845</v>
      </c>
      <c r="G41" s="41"/>
      <c r="H41" s="41"/>
      <c r="I41" s="42"/>
      <c r="J41" s="40">
        <f t="shared" si="0"/>
        <v>0</v>
      </c>
      <c r="K41" s="41"/>
      <c r="L41" s="41"/>
      <c r="M41" s="41"/>
      <c r="N41" s="41">
        <f t="shared" si="7"/>
        <v>0</v>
      </c>
      <c r="O41" s="40"/>
      <c r="P41" s="129">
        <f t="shared" si="1"/>
        <v>221845</v>
      </c>
      <c r="Q41" s="43"/>
      <c r="R41" s="35"/>
      <c r="S41" s="43"/>
      <c r="T41" s="51"/>
      <c r="U41" s="7">
        <f t="shared" si="3"/>
        <v>221845</v>
      </c>
      <c r="V41" s="44"/>
      <c r="X41" s="44"/>
      <c r="Y41" s="133">
        <v>221845</v>
      </c>
      <c r="Z41" s="138">
        <f t="shared" si="8"/>
        <v>0</v>
      </c>
    </row>
    <row r="42" spans="1:26" ht="28.9" customHeight="1" x14ac:dyDescent="0.2">
      <c r="A42" s="6" t="s">
        <v>407</v>
      </c>
      <c r="B42" s="20" t="s">
        <v>337</v>
      </c>
      <c r="C42" s="20"/>
      <c r="D42" s="97" t="s">
        <v>340</v>
      </c>
      <c r="E42" s="21">
        <f t="shared" si="4"/>
        <v>0</v>
      </c>
      <c r="F42" s="32">
        <f>F43</f>
        <v>0</v>
      </c>
      <c r="G42" s="32">
        <f>G43</f>
        <v>0</v>
      </c>
      <c r="H42" s="32">
        <f>H43</f>
        <v>0</v>
      </c>
      <c r="I42" s="32">
        <f>I43</f>
        <v>0</v>
      </c>
      <c r="J42" s="21">
        <f t="shared" si="0"/>
        <v>8000000</v>
      </c>
      <c r="K42" s="32">
        <f>K43</f>
        <v>0</v>
      </c>
      <c r="L42" s="32">
        <f>L43</f>
        <v>0</v>
      </c>
      <c r="M42" s="32">
        <f>M43</f>
        <v>0</v>
      </c>
      <c r="N42" s="32">
        <f>N43</f>
        <v>8000000</v>
      </c>
      <c r="O42" s="32">
        <f>O43</f>
        <v>8000000</v>
      </c>
      <c r="P42" s="129">
        <f t="shared" si="1"/>
        <v>8000000</v>
      </c>
      <c r="Q42" s="35"/>
      <c r="R42" s="35"/>
      <c r="S42" s="35"/>
      <c r="T42" s="4"/>
      <c r="U42" s="7"/>
      <c r="V42" s="7"/>
      <c r="X42" s="7"/>
      <c r="Y42" s="123">
        <v>8000000</v>
      </c>
      <c r="Z42" s="138">
        <f t="shared" si="8"/>
        <v>0</v>
      </c>
    </row>
    <row r="43" spans="1:26" s="45" customFormat="1" ht="29.45" customHeight="1" x14ac:dyDescent="0.2">
      <c r="A43" s="38" t="s">
        <v>405</v>
      </c>
      <c r="B43" s="73" t="s">
        <v>406</v>
      </c>
      <c r="C43" s="73" t="s">
        <v>339</v>
      </c>
      <c r="D43" s="74" t="s">
        <v>404</v>
      </c>
      <c r="E43" s="40">
        <f t="shared" si="4"/>
        <v>0</v>
      </c>
      <c r="F43" s="41"/>
      <c r="G43" s="41"/>
      <c r="H43" s="41"/>
      <c r="I43" s="42"/>
      <c r="J43" s="40">
        <f t="shared" si="0"/>
        <v>8000000</v>
      </c>
      <c r="K43" s="41"/>
      <c r="L43" s="41"/>
      <c r="M43" s="41"/>
      <c r="N43" s="41">
        <f t="shared" si="7"/>
        <v>8000000</v>
      </c>
      <c r="O43" s="40">
        <f>8000000</f>
        <v>8000000</v>
      </c>
      <c r="P43" s="145">
        <f t="shared" si="1"/>
        <v>8000000</v>
      </c>
      <c r="Q43" s="43"/>
      <c r="R43" s="43"/>
      <c r="S43" s="43"/>
      <c r="T43" s="51"/>
      <c r="U43" s="44"/>
      <c r="V43" s="44"/>
      <c r="X43" s="44"/>
      <c r="Y43" s="133">
        <v>8000000</v>
      </c>
      <c r="Z43" s="138">
        <f t="shared" si="8"/>
        <v>0</v>
      </c>
    </row>
    <row r="44" spans="1:26" ht="19.899999999999999" customHeight="1" x14ac:dyDescent="0.2">
      <c r="A44" s="6" t="s">
        <v>331</v>
      </c>
      <c r="B44" s="20" t="s">
        <v>329</v>
      </c>
      <c r="C44" s="20"/>
      <c r="D44" s="97" t="s">
        <v>334</v>
      </c>
      <c r="E44" s="40">
        <f t="shared" si="4"/>
        <v>0</v>
      </c>
      <c r="F44" s="32">
        <f>F45</f>
        <v>0</v>
      </c>
      <c r="G44" s="32">
        <f>G45</f>
        <v>0</v>
      </c>
      <c r="H44" s="32">
        <f>H45</f>
        <v>0</v>
      </c>
      <c r="I44" s="32">
        <f>I45</f>
        <v>0</v>
      </c>
      <c r="J44" s="40">
        <f t="shared" si="0"/>
        <v>2853100</v>
      </c>
      <c r="K44" s="32">
        <f>K45</f>
        <v>0</v>
      </c>
      <c r="L44" s="32">
        <f>L45</f>
        <v>0</v>
      </c>
      <c r="M44" s="32">
        <f>M45</f>
        <v>0</v>
      </c>
      <c r="N44" s="32">
        <f>N45</f>
        <v>2853100</v>
      </c>
      <c r="O44" s="32">
        <f>O45</f>
        <v>2853100</v>
      </c>
      <c r="P44" s="129">
        <f t="shared" si="1"/>
        <v>2853100</v>
      </c>
      <c r="Q44" s="35"/>
      <c r="R44" s="35"/>
      <c r="S44" s="35"/>
      <c r="T44" s="4"/>
      <c r="U44" s="7"/>
      <c r="V44" s="7"/>
      <c r="X44" s="7"/>
      <c r="Y44" s="123">
        <v>2776000</v>
      </c>
      <c r="Z44" s="138">
        <f t="shared" si="8"/>
        <v>77100</v>
      </c>
    </row>
    <row r="45" spans="1:26" s="45" customFormat="1" ht="51" x14ac:dyDescent="0.2">
      <c r="A45" s="38" t="s">
        <v>332</v>
      </c>
      <c r="B45" s="73" t="s">
        <v>330</v>
      </c>
      <c r="C45" s="73" t="s">
        <v>312</v>
      </c>
      <c r="D45" s="74" t="s">
        <v>333</v>
      </c>
      <c r="E45" s="40">
        <f t="shared" si="4"/>
        <v>0</v>
      </c>
      <c r="F45" s="41"/>
      <c r="G45" s="41"/>
      <c r="H45" s="41"/>
      <c r="I45" s="42"/>
      <c r="J45" s="40">
        <f t="shared" si="0"/>
        <v>2853100</v>
      </c>
      <c r="K45" s="41"/>
      <c r="L45" s="41"/>
      <c r="M45" s="41"/>
      <c r="N45" s="41">
        <f>O45</f>
        <v>2853100</v>
      </c>
      <c r="O45" s="40">
        <f>200000+6000+2570000+77100</f>
        <v>2853100</v>
      </c>
      <c r="P45" s="145">
        <f t="shared" si="1"/>
        <v>2853100</v>
      </c>
      <c r="Q45" s="43"/>
      <c r="R45" s="43"/>
      <c r="S45" s="43"/>
      <c r="T45" s="51"/>
      <c r="U45" s="44"/>
      <c r="V45" s="44"/>
      <c r="X45" s="44"/>
      <c r="Y45" s="133">
        <v>2776000</v>
      </c>
      <c r="Z45" s="138">
        <f t="shared" si="8"/>
        <v>77100</v>
      </c>
    </row>
    <row r="46" spans="1:26" s="8" customFormat="1" ht="25.5" x14ac:dyDescent="0.2">
      <c r="A46" s="3" t="s">
        <v>234</v>
      </c>
      <c r="B46" s="19"/>
      <c r="C46" s="19"/>
      <c r="D46" s="10" t="s">
        <v>58</v>
      </c>
      <c r="E46" s="30">
        <f t="shared" si="4"/>
        <v>1047023495</v>
      </c>
      <c r="F46" s="30">
        <f>F47</f>
        <v>1047023495</v>
      </c>
      <c r="G46" s="30">
        <f>G47</f>
        <v>792216</v>
      </c>
      <c r="H46" s="30">
        <f>H47</f>
        <v>46340</v>
      </c>
      <c r="I46" s="30">
        <f>I47</f>
        <v>0</v>
      </c>
      <c r="J46" s="30">
        <f t="shared" si="0"/>
        <v>190782275</v>
      </c>
      <c r="K46" s="30">
        <f>K47</f>
        <v>30569575</v>
      </c>
      <c r="L46" s="30">
        <f>L47</f>
        <v>0</v>
      </c>
      <c r="M46" s="30">
        <f>M47</f>
        <v>0</v>
      </c>
      <c r="N46" s="30">
        <f>N47</f>
        <v>160212700</v>
      </c>
      <c r="O46" s="30">
        <f>O47</f>
        <v>137836365</v>
      </c>
      <c r="P46" s="30">
        <f t="shared" si="1"/>
        <v>1237805770</v>
      </c>
      <c r="Q46" s="35">
        <v>946460030</v>
      </c>
      <c r="R46" s="35">
        <f t="shared" si="2"/>
        <v>291345740</v>
      </c>
      <c r="S46" s="35"/>
      <c r="T46" s="4">
        <v>1018176128</v>
      </c>
      <c r="U46" s="7">
        <f t="shared" si="3"/>
        <v>219629642</v>
      </c>
      <c r="V46" s="7">
        <v>9384989</v>
      </c>
      <c r="W46" s="7">
        <f>U46-V46</f>
        <v>210244653</v>
      </c>
      <c r="X46" s="7"/>
      <c r="Y46" s="132">
        <v>1246478880</v>
      </c>
      <c r="Z46" s="140">
        <f>P46-Y46</f>
        <v>-8673110</v>
      </c>
    </row>
    <row r="47" spans="1:26" s="8" customFormat="1" ht="30.6" customHeight="1" x14ac:dyDescent="0.2">
      <c r="A47" s="3" t="s">
        <v>235</v>
      </c>
      <c r="B47" s="19"/>
      <c r="C47" s="19"/>
      <c r="D47" s="10" t="s">
        <v>55</v>
      </c>
      <c r="E47" s="30">
        <f t="shared" si="4"/>
        <v>1047023495</v>
      </c>
      <c r="F47" s="30">
        <f>SUM(F48:F59)+F62+F68+F63+F65</f>
        <v>1047023495</v>
      </c>
      <c r="G47" s="30">
        <f>SUM(G48:G59)+G62+G68+G63+G65</f>
        <v>792216</v>
      </c>
      <c r="H47" s="30">
        <f>SUM(H48:H59)+H62+H68+H63+H65</f>
        <v>46340</v>
      </c>
      <c r="I47" s="30">
        <f>SUM(I48:I59)+I62+I68+I63+I65</f>
        <v>0</v>
      </c>
      <c r="J47" s="30">
        <f t="shared" si="0"/>
        <v>190782275</v>
      </c>
      <c r="K47" s="30">
        <f>SUM(K48:K59)+K62+K68+K63+K65</f>
        <v>30569575</v>
      </c>
      <c r="L47" s="30">
        <f>SUM(L48:L59)+L62+L68+L63+L65</f>
        <v>0</v>
      </c>
      <c r="M47" s="30">
        <f>SUM(M48:M59)+M62+M68+M63+M65</f>
        <v>0</v>
      </c>
      <c r="N47" s="30">
        <f>SUM(N48:N59)+N62+N68+N63+N65</f>
        <v>160212700</v>
      </c>
      <c r="O47" s="30">
        <f>SUM(O48:O59)+O62+O68+O63+O65</f>
        <v>137836365</v>
      </c>
      <c r="P47" s="30">
        <f t="shared" si="1"/>
        <v>1237805770</v>
      </c>
      <c r="Q47" s="35"/>
      <c r="R47" s="35">
        <f t="shared" si="2"/>
        <v>1237805770</v>
      </c>
      <c r="S47" s="35"/>
      <c r="T47" s="4"/>
      <c r="U47" s="7">
        <f t="shared" si="3"/>
        <v>1237805770</v>
      </c>
      <c r="V47" s="7"/>
      <c r="X47" s="7"/>
      <c r="Y47" s="132">
        <v>1230770880</v>
      </c>
      <c r="Z47" s="140"/>
    </row>
    <row r="48" spans="1:26" ht="43.9" customHeight="1" x14ac:dyDescent="0.2">
      <c r="A48" s="6" t="s">
        <v>236</v>
      </c>
      <c r="B48" s="6" t="s">
        <v>63</v>
      </c>
      <c r="C48" s="6" t="s">
        <v>64</v>
      </c>
      <c r="D48" s="27" t="s">
        <v>198</v>
      </c>
      <c r="E48" s="21">
        <f t="shared" ref="E48:E88" si="9">F48+I48</f>
        <v>47081390</v>
      </c>
      <c r="F48" s="32">
        <f>46092600+292800+695990</f>
        <v>47081390</v>
      </c>
      <c r="G48" s="32"/>
      <c r="H48" s="30"/>
      <c r="I48" s="12"/>
      <c r="J48" s="21">
        <f t="shared" ref="J48:J88" si="10">K48+N48</f>
        <v>22492300</v>
      </c>
      <c r="K48" s="32">
        <v>20428500</v>
      </c>
      <c r="L48" s="32"/>
      <c r="M48" s="32"/>
      <c r="N48" s="32">
        <f>O48+320000</f>
        <v>2063800</v>
      </c>
      <c r="O48" s="21">
        <v>1743800</v>
      </c>
      <c r="P48" s="30">
        <f t="shared" si="1"/>
        <v>69573690</v>
      </c>
      <c r="Q48" s="35"/>
      <c r="R48" s="35">
        <f t="shared" si="2"/>
        <v>69573690</v>
      </c>
      <c r="S48" s="35"/>
      <c r="T48" s="4"/>
      <c r="U48" s="7">
        <f t="shared" si="3"/>
        <v>69573690</v>
      </c>
      <c r="V48" s="7"/>
      <c r="X48" s="7"/>
      <c r="Y48" s="123">
        <f>Y46-Y47</f>
        <v>15708000</v>
      </c>
    </row>
    <row r="49" spans="1:26" ht="25.5" x14ac:dyDescent="0.2">
      <c r="A49" s="6" t="s">
        <v>237</v>
      </c>
      <c r="B49" s="6" t="s">
        <v>65</v>
      </c>
      <c r="C49" s="6" t="s">
        <v>66</v>
      </c>
      <c r="D49" s="25" t="s">
        <v>9</v>
      </c>
      <c r="E49" s="21">
        <f t="shared" si="9"/>
        <v>208050700</v>
      </c>
      <c r="F49" s="32">
        <f>190537100+9139500+2500000+1260000+1200000+1000000+900000+150000+58900+45000+250000+151500+200000+158700+500000</f>
        <v>208050700</v>
      </c>
      <c r="G49" s="32"/>
      <c r="H49" s="21"/>
      <c r="I49" s="13"/>
      <c r="J49" s="21">
        <f t="shared" si="10"/>
        <v>31166315</v>
      </c>
      <c r="K49" s="32">
        <v>2976300</v>
      </c>
      <c r="L49" s="32"/>
      <c r="M49" s="21"/>
      <c r="N49" s="32">
        <f t="shared" ref="N49:N57" si="11">O49</f>
        <v>28190015</v>
      </c>
      <c r="O49" s="32">
        <f>6822000+292000+13400000+5000000+500000+1740000+547915+188100+200000-500000</f>
        <v>28190015</v>
      </c>
      <c r="P49" s="30">
        <f t="shared" si="1"/>
        <v>239217015</v>
      </c>
      <c r="Q49" s="35"/>
      <c r="R49" s="35">
        <f t="shared" si="2"/>
        <v>239217015</v>
      </c>
      <c r="S49" s="35"/>
      <c r="T49" s="4"/>
      <c r="U49" s="7">
        <f t="shared" si="3"/>
        <v>239217015</v>
      </c>
      <c r="V49" s="7"/>
      <c r="X49" s="7"/>
    </row>
    <row r="50" spans="1:26" ht="25.5" x14ac:dyDescent="0.2">
      <c r="A50" s="6" t="s">
        <v>243</v>
      </c>
      <c r="B50" s="6" t="s">
        <v>244</v>
      </c>
      <c r="C50" s="6" t="s">
        <v>67</v>
      </c>
      <c r="D50" s="25" t="s">
        <v>10</v>
      </c>
      <c r="E50" s="21">
        <f t="shared" si="9"/>
        <v>377997060</v>
      </c>
      <c r="F50" s="32">
        <f>358116000+6697400+10000000+250000+600000+700000+7650+300000+300000+600000+60000+70000+296000+82000-1224850+674200+16750+451910</f>
        <v>377997060</v>
      </c>
      <c r="G50" s="32"/>
      <c r="H50" s="21"/>
      <c r="I50" s="13"/>
      <c r="J50" s="21">
        <f t="shared" si="10"/>
        <v>48426690</v>
      </c>
      <c r="K50" s="32">
        <v>2360290</v>
      </c>
      <c r="L50" s="32"/>
      <c r="M50" s="21"/>
      <c r="N50" s="32">
        <f>O50+45000</f>
        <v>46066400</v>
      </c>
      <c r="O50" s="21">
        <f>11538000+4892500+1500000+11538000+2100000+7500000+2670000+312350+139560+881500+250000+50000+238700+100000+452800+1200000+373100+101400+334200+268000+1233200-451910-1200000</f>
        <v>46021400</v>
      </c>
      <c r="P50" s="30">
        <f t="shared" si="1"/>
        <v>426423750</v>
      </c>
      <c r="Q50" s="35"/>
      <c r="R50" s="35">
        <f t="shared" si="2"/>
        <v>426423750</v>
      </c>
      <c r="S50" s="35"/>
      <c r="T50" s="4"/>
      <c r="U50" s="7">
        <f t="shared" si="3"/>
        <v>426423750</v>
      </c>
      <c r="V50" s="7"/>
      <c r="X50" s="7"/>
    </row>
    <row r="51" spans="1:26" ht="25.5" x14ac:dyDescent="0.2">
      <c r="A51" s="6" t="s">
        <v>246</v>
      </c>
      <c r="B51" s="6" t="s">
        <v>247</v>
      </c>
      <c r="C51" s="6" t="s">
        <v>69</v>
      </c>
      <c r="D51" s="25" t="s">
        <v>245</v>
      </c>
      <c r="E51" s="21">
        <f t="shared" si="9"/>
        <v>32633450</v>
      </c>
      <c r="F51" s="32">
        <f>31614000+418400+388900+51200+69900+91050</f>
        <v>32633450</v>
      </c>
      <c r="G51" s="32"/>
      <c r="H51" s="32"/>
      <c r="I51" s="14"/>
      <c r="J51" s="21">
        <f t="shared" si="10"/>
        <v>56285</v>
      </c>
      <c r="K51" s="32">
        <v>11285</v>
      </c>
      <c r="L51" s="32"/>
      <c r="M51" s="32"/>
      <c r="N51" s="32">
        <f t="shared" si="11"/>
        <v>45000</v>
      </c>
      <c r="O51" s="21">
        <f>30000+15000</f>
        <v>45000</v>
      </c>
      <c r="P51" s="30">
        <f t="shared" si="1"/>
        <v>32689735</v>
      </c>
      <c r="Q51" s="35"/>
      <c r="R51" s="35">
        <f t="shared" si="2"/>
        <v>32689735</v>
      </c>
      <c r="S51" s="35"/>
      <c r="T51" s="4"/>
      <c r="U51" s="7">
        <f t="shared" si="3"/>
        <v>32689735</v>
      </c>
      <c r="V51" s="7"/>
      <c r="X51" s="7"/>
    </row>
    <row r="52" spans="1:26" ht="38.25" x14ac:dyDescent="0.2">
      <c r="A52" s="6" t="s">
        <v>248</v>
      </c>
      <c r="B52" s="6" t="s">
        <v>249</v>
      </c>
      <c r="C52" s="6" t="s">
        <v>72</v>
      </c>
      <c r="D52" s="25" t="s">
        <v>81</v>
      </c>
      <c r="E52" s="21">
        <f t="shared" si="9"/>
        <v>17835200</v>
      </c>
      <c r="F52" s="32">
        <f>17810500+4400+20300</f>
        <v>17835200</v>
      </c>
      <c r="G52" s="32"/>
      <c r="H52" s="32"/>
      <c r="I52" s="14"/>
      <c r="J52" s="21">
        <f t="shared" si="10"/>
        <v>0</v>
      </c>
      <c r="K52" s="32"/>
      <c r="L52" s="32"/>
      <c r="M52" s="32"/>
      <c r="N52" s="32">
        <f t="shared" si="11"/>
        <v>0</v>
      </c>
      <c r="O52" s="21"/>
      <c r="P52" s="30">
        <f t="shared" si="1"/>
        <v>17835200</v>
      </c>
      <c r="Q52" s="35"/>
      <c r="R52" s="35">
        <f t="shared" si="2"/>
        <v>17835200</v>
      </c>
      <c r="S52" s="35"/>
      <c r="T52" s="4"/>
      <c r="U52" s="7">
        <f t="shared" si="3"/>
        <v>17835200</v>
      </c>
      <c r="V52" s="7"/>
      <c r="X52" s="7"/>
    </row>
    <row r="53" spans="1:26" x14ac:dyDescent="0.2">
      <c r="A53" s="6" t="s">
        <v>238</v>
      </c>
      <c r="B53" s="6" t="s">
        <v>68</v>
      </c>
      <c r="C53" s="6" t="s">
        <v>74</v>
      </c>
      <c r="D53" s="25" t="s">
        <v>11</v>
      </c>
      <c r="E53" s="21">
        <f t="shared" si="9"/>
        <v>18375600</v>
      </c>
      <c r="F53" s="32">
        <f>18341600+34000</f>
        <v>18375600</v>
      </c>
      <c r="G53" s="32"/>
      <c r="H53" s="32"/>
      <c r="I53" s="14"/>
      <c r="J53" s="21">
        <f t="shared" si="10"/>
        <v>425500</v>
      </c>
      <c r="K53" s="32">
        <v>55000</v>
      </c>
      <c r="L53" s="32"/>
      <c r="M53" s="32"/>
      <c r="N53" s="32">
        <f>O53+45000</f>
        <v>370500</v>
      </c>
      <c r="O53" s="21">
        <v>325500</v>
      </c>
      <c r="P53" s="30">
        <f t="shared" si="1"/>
        <v>18801100</v>
      </c>
      <c r="Q53" s="35"/>
      <c r="R53" s="35">
        <f t="shared" si="2"/>
        <v>18801100</v>
      </c>
      <c r="S53" s="35"/>
      <c r="T53" s="4"/>
      <c r="U53" s="7">
        <f t="shared" si="3"/>
        <v>18801100</v>
      </c>
      <c r="V53" s="7"/>
      <c r="X53" s="7"/>
    </row>
    <row r="54" spans="1:26" ht="25.5" x14ac:dyDescent="0.2">
      <c r="A54" s="6" t="s">
        <v>239</v>
      </c>
      <c r="B54" s="20" t="s">
        <v>70</v>
      </c>
      <c r="C54" s="20" t="s">
        <v>75</v>
      </c>
      <c r="D54" s="11" t="s">
        <v>250</v>
      </c>
      <c r="E54" s="21">
        <f t="shared" si="9"/>
        <v>183633900</v>
      </c>
      <c r="F54" s="32">
        <f>178527700+6200+5100000</f>
        <v>183633900</v>
      </c>
      <c r="G54" s="32"/>
      <c r="H54" s="21"/>
      <c r="I54" s="13"/>
      <c r="J54" s="21">
        <f t="shared" si="10"/>
        <v>50000</v>
      </c>
      <c r="K54" s="32">
        <v>50000</v>
      </c>
      <c r="L54" s="32"/>
      <c r="M54" s="30"/>
      <c r="N54" s="32">
        <f t="shared" si="11"/>
        <v>0</v>
      </c>
      <c r="O54" s="21"/>
      <c r="P54" s="30">
        <f t="shared" si="1"/>
        <v>183683900</v>
      </c>
      <c r="Q54" s="35"/>
      <c r="R54" s="35">
        <f t="shared" si="2"/>
        <v>183683900</v>
      </c>
      <c r="S54" s="35"/>
      <c r="T54" s="4"/>
      <c r="U54" s="7">
        <f t="shared" si="3"/>
        <v>183683900</v>
      </c>
      <c r="V54" s="7"/>
      <c r="X54" s="7"/>
    </row>
    <row r="55" spans="1:26" ht="25.5" x14ac:dyDescent="0.2">
      <c r="A55" s="6" t="s">
        <v>240</v>
      </c>
      <c r="B55" s="6" t="s">
        <v>71</v>
      </c>
      <c r="C55" s="6" t="s">
        <v>77</v>
      </c>
      <c r="D55" s="25" t="s">
        <v>251</v>
      </c>
      <c r="E55" s="21">
        <f t="shared" si="9"/>
        <v>15579945</v>
      </c>
      <c r="F55" s="32">
        <f>15122400+86000+149645+221900</f>
        <v>15579945</v>
      </c>
      <c r="G55" s="32"/>
      <c r="H55" s="21"/>
      <c r="I55" s="13"/>
      <c r="J55" s="21">
        <f t="shared" si="10"/>
        <v>302500</v>
      </c>
      <c r="K55" s="32">
        <v>282500</v>
      </c>
      <c r="L55" s="32"/>
      <c r="M55" s="32"/>
      <c r="N55" s="32">
        <f>O55+20000</f>
        <v>20000</v>
      </c>
      <c r="O55" s="21"/>
      <c r="P55" s="30">
        <f t="shared" si="1"/>
        <v>15882445</v>
      </c>
      <c r="Q55" s="35"/>
      <c r="R55" s="35">
        <f t="shared" si="2"/>
        <v>15882445</v>
      </c>
      <c r="S55" s="35"/>
      <c r="T55" s="4"/>
      <c r="U55" s="7">
        <f t="shared" si="3"/>
        <v>15882445</v>
      </c>
      <c r="V55" s="7"/>
      <c r="X55" s="7"/>
    </row>
    <row r="56" spans="1:26" x14ac:dyDescent="0.2">
      <c r="A56" s="6" t="s">
        <v>241</v>
      </c>
      <c r="B56" s="6" t="s">
        <v>73</v>
      </c>
      <c r="C56" s="6" t="s">
        <v>77</v>
      </c>
      <c r="D56" s="25" t="s">
        <v>252</v>
      </c>
      <c r="E56" s="21">
        <f t="shared" si="9"/>
        <v>10096400</v>
      </c>
      <c r="F56" s="32">
        <f>10082300+14100</f>
        <v>10096400</v>
      </c>
      <c r="G56" s="32"/>
      <c r="H56" s="21"/>
      <c r="I56" s="13"/>
      <c r="J56" s="21">
        <f t="shared" si="10"/>
        <v>4376500</v>
      </c>
      <c r="K56" s="32">
        <v>4276500</v>
      </c>
      <c r="L56" s="32"/>
      <c r="M56" s="21"/>
      <c r="N56" s="32">
        <f>O56+100000</f>
        <v>100000</v>
      </c>
      <c r="O56" s="21"/>
      <c r="P56" s="30">
        <f t="shared" si="1"/>
        <v>14472900</v>
      </c>
      <c r="Q56" s="35"/>
      <c r="R56" s="35">
        <f t="shared" si="2"/>
        <v>14472900</v>
      </c>
      <c r="S56" s="35"/>
      <c r="T56" s="4"/>
      <c r="U56" s="7">
        <f t="shared" si="3"/>
        <v>14472900</v>
      </c>
      <c r="V56" s="7"/>
      <c r="X56" s="7"/>
    </row>
    <row r="57" spans="1:26" ht="38.25" x14ac:dyDescent="0.2">
      <c r="A57" s="6" t="s">
        <v>254</v>
      </c>
      <c r="B57" s="6" t="s">
        <v>255</v>
      </c>
      <c r="C57" s="6" t="s">
        <v>78</v>
      </c>
      <c r="D57" s="25" t="s">
        <v>253</v>
      </c>
      <c r="E57" s="21">
        <f t="shared" si="9"/>
        <v>1902500</v>
      </c>
      <c r="F57" s="32">
        <f>1495900+354900+51700</f>
        <v>1902500</v>
      </c>
      <c r="G57" s="32"/>
      <c r="H57" s="21"/>
      <c r="I57" s="13"/>
      <c r="J57" s="21">
        <f t="shared" si="10"/>
        <v>42000</v>
      </c>
      <c r="K57" s="32"/>
      <c r="L57" s="32"/>
      <c r="M57" s="30"/>
      <c r="N57" s="32">
        <f t="shared" si="11"/>
        <v>42000</v>
      </c>
      <c r="O57" s="32">
        <f>42000</f>
        <v>42000</v>
      </c>
      <c r="P57" s="30">
        <f t="shared" si="1"/>
        <v>1944500</v>
      </c>
      <c r="Q57" s="35"/>
      <c r="R57" s="35">
        <f t="shared" si="2"/>
        <v>1944500</v>
      </c>
      <c r="S57" s="35"/>
      <c r="T57" s="4"/>
      <c r="U57" s="7">
        <f t="shared" si="3"/>
        <v>1944500</v>
      </c>
      <c r="V57" s="7"/>
      <c r="X57" s="7"/>
    </row>
    <row r="58" spans="1:26" ht="25.5" x14ac:dyDescent="0.2">
      <c r="A58" s="6" t="s">
        <v>242</v>
      </c>
      <c r="B58" s="6" t="s">
        <v>76</v>
      </c>
      <c r="C58" s="6" t="s">
        <v>79</v>
      </c>
      <c r="D58" s="33" t="s">
        <v>256</v>
      </c>
      <c r="E58" s="21">
        <f t="shared" si="9"/>
        <v>9626000</v>
      </c>
      <c r="F58" s="32">
        <f>9493500+132500</f>
        <v>9626000</v>
      </c>
      <c r="G58" s="32"/>
      <c r="H58" s="32"/>
      <c r="I58" s="14"/>
      <c r="J58" s="21">
        <f t="shared" si="10"/>
        <v>0</v>
      </c>
      <c r="K58" s="32"/>
      <c r="L58" s="32"/>
      <c r="M58" s="32"/>
      <c r="N58" s="32">
        <f>O58</f>
        <v>0</v>
      </c>
      <c r="O58" s="32"/>
      <c r="P58" s="30">
        <f t="shared" si="1"/>
        <v>9626000</v>
      </c>
      <c r="Q58" s="35"/>
      <c r="R58" s="35">
        <f t="shared" si="2"/>
        <v>9626000</v>
      </c>
      <c r="S58" s="35"/>
      <c r="T58" s="4"/>
      <c r="U58" s="7">
        <f t="shared" si="3"/>
        <v>9626000</v>
      </c>
      <c r="V58" s="7"/>
      <c r="X58" s="7"/>
    </row>
    <row r="59" spans="1:26" ht="25.5" x14ac:dyDescent="0.2">
      <c r="A59" s="6" t="s">
        <v>264</v>
      </c>
      <c r="B59" s="6">
        <v>2150</v>
      </c>
      <c r="C59" s="6"/>
      <c r="D59" s="33" t="s">
        <v>257</v>
      </c>
      <c r="E59" s="21">
        <f t="shared" si="9"/>
        <v>123179600</v>
      </c>
      <c r="F59" s="32">
        <f>F60+F61</f>
        <v>123179600</v>
      </c>
      <c r="G59" s="32">
        <f>G60+G61</f>
        <v>0</v>
      </c>
      <c r="H59" s="32">
        <f>H60+H61</f>
        <v>0</v>
      </c>
      <c r="I59" s="32">
        <f>I60+I61</f>
        <v>0</v>
      </c>
      <c r="J59" s="21">
        <f t="shared" si="10"/>
        <v>2071900</v>
      </c>
      <c r="K59" s="32">
        <f>K60+K61</f>
        <v>129200</v>
      </c>
      <c r="L59" s="32">
        <f>L60+L61</f>
        <v>0</v>
      </c>
      <c r="M59" s="32">
        <f>M60+M61</f>
        <v>0</v>
      </c>
      <c r="N59" s="32">
        <f>N60+N61</f>
        <v>1942700</v>
      </c>
      <c r="O59" s="32">
        <f>O60+O61</f>
        <v>1942700</v>
      </c>
      <c r="P59" s="30">
        <f t="shared" si="1"/>
        <v>125251500</v>
      </c>
      <c r="Q59" s="35"/>
      <c r="R59" s="35">
        <f t="shared" si="2"/>
        <v>125251500</v>
      </c>
      <c r="S59" s="35"/>
      <c r="T59" s="4"/>
      <c r="U59" s="7">
        <f t="shared" si="3"/>
        <v>125251500</v>
      </c>
      <c r="V59" s="7"/>
      <c r="X59" s="7"/>
    </row>
    <row r="60" spans="1:26" s="45" customFormat="1" ht="25.5" x14ac:dyDescent="0.2">
      <c r="A60" s="38" t="s">
        <v>261</v>
      </c>
      <c r="B60" s="38" t="s">
        <v>260</v>
      </c>
      <c r="C60" s="38" t="s">
        <v>79</v>
      </c>
      <c r="D60" s="49" t="s">
        <v>258</v>
      </c>
      <c r="E60" s="40">
        <f t="shared" si="9"/>
        <v>39123000</v>
      </c>
      <c r="F60" s="41">
        <f>39045200+65600+12200</f>
        <v>39123000</v>
      </c>
      <c r="G60" s="41"/>
      <c r="H60" s="41"/>
      <c r="I60" s="42"/>
      <c r="J60" s="40">
        <f t="shared" si="10"/>
        <v>1071900</v>
      </c>
      <c r="K60" s="41">
        <v>129200</v>
      </c>
      <c r="L60" s="41"/>
      <c r="M60" s="41"/>
      <c r="N60" s="41">
        <f>O60</f>
        <v>942700</v>
      </c>
      <c r="O60" s="40">
        <f>720000+192100+30600</f>
        <v>942700</v>
      </c>
      <c r="P60" s="30">
        <f t="shared" si="1"/>
        <v>40194900</v>
      </c>
      <c r="Q60" s="43"/>
      <c r="R60" s="43">
        <f t="shared" si="2"/>
        <v>40194900</v>
      </c>
      <c r="S60" s="43"/>
      <c r="T60" s="51"/>
      <c r="U60" s="44">
        <f t="shared" si="3"/>
        <v>40194900</v>
      </c>
      <c r="V60" s="44"/>
      <c r="X60" s="44"/>
      <c r="Y60" s="133"/>
      <c r="Z60" s="141"/>
    </row>
    <row r="61" spans="1:26" s="45" customFormat="1" ht="25.5" x14ac:dyDescent="0.2">
      <c r="A61" s="38" t="s">
        <v>263</v>
      </c>
      <c r="B61" s="38" t="s">
        <v>262</v>
      </c>
      <c r="C61" s="38" t="s">
        <v>79</v>
      </c>
      <c r="D61" s="49" t="s">
        <v>259</v>
      </c>
      <c r="E61" s="40">
        <f t="shared" si="9"/>
        <v>84056600</v>
      </c>
      <c r="F61" s="41">
        <f>68175600+29584987+5731813-16560800-2875000</f>
        <v>84056600</v>
      </c>
      <c r="G61" s="41"/>
      <c r="H61" s="41"/>
      <c r="I61" s="41"/>
      <c r="J61" s="40">
        <f t="shared" si="10"/>
        <v>1000000</v>
      </c>
      <c r="K61" s="41"/>
      <c r="L61" s="41"/>
      <c r="M61" s="41"/>
      <c r="N61" s="41">
        <f>O61</f>
        <v>1000000</v>
      </c>
      <c r="O61" s="41">
        <v>1000000</v>
      </c>
      <c r="P61" s="30">
        <f t="shared" si="1"/>
        <v>85056600</v>
      </c>
      <c r="Q61" s="43"/>
      <c r="R61" s="43">
        <f t="shared" si="2"/>
        <v>85056600</v>
      </c>
      <c r="S61" s="43"/>
      <c r="T61" s="51"/>
      <c r="U61" s="44">
        <f t="shared" si="3"/>
        <v>85056600</v>
      </c>
      <c r="V61" s="44"/>
      <c r="X61" s="44"/>
      <c r="Y61" s="133"/>
      <c r="Z61" s="141"/>
    </row>
    <row r="62" spans="1:26" ht="19.899999999999999" customHeight="1" x14ac:dyDescent="0.2">
      <c r="A62" s="6" t="s">
        <v>266</v>
      </c>
      <c r="B62" s="6" t="s">
        <v>265</v>
      </c>
      <c r="C62" s="6" t="s">
        <v>80</v>
      </c>
      <c r="D62" s="25" t="s">
        <v>187</v>
      </c>
      <c r="E62" s="21">
        <f t="shared" si="9"/>
        <v>1031750</v>
      </c>
      <c r="F62" s="32">
        <f>1243700-211950</f>
        <v>1031750</v>
      </c>
      <c r="G62" s="32">
        <f>950660-158444</f>
        <v>792216</v>
      </c>
      <c r="H62" s="32">
        <f>56440-10100</f>
        <v>46340</v>
      </c>
      <c r="I62" s="14"/>
      <c r="J62" s="21">
        <f t="shared" si="10"/>
        <v>0</v>
      </c>
      <c r="K62" s="32"/>
      <c r="L62" s="32"/>
      <c r="M62" s="32"/>
      <c r="N62" s="32">
        <f>O62</f>
        <v>0</v>
      </c>
      <c r="O62" s="32"/>
      <c r="P62" s="30">
        <f t="shared" si="1"/>
        <v>1031750</v>
      </c>
      <c r="Q62" s="35"/>
      <c r="R62" s="35">
        <f t="shared" si="2"/>
        <v>1031750</v>
      </c>
      <c r="S62" s="35"/>
      <c r="T62" s="4"/>
      <c r="U62" s="7">
        <f t="shared" si="3"/>
        <v>1031750</v>
      </c>
      <c r="V62" s="7"/>
      <c r="X62" s="7"/>
    </row>
    <row r="63" spans="1:26" ht="27.6" customHeight="1" x14ac:dyDescent="0.2">
      <c r="A63" s="6" t="s">
        <v>375</v>
      </c>
      <c r="B63" s="20" t="s">
        <v>337</v>
      </c>
      <c r="C63" s="20"/>
      <c r="D63" s="98" t="s">
        <v>340</v>
      </c>
      <c r="E63" s="40">
        <f t="shared" si="9"/>
        <v>0</v>
      </c>
      <c r="F63" s="32">
        <f>F64</f>
        <v>0</v>
      </c>
      <c r="G63" s="32">
        <f>G64</f>
        <v>0</v>
      </c>
      <c r="H63" s="32">
        <f>H64</f>
        <v>0</v>
      </c>
      <c r="I63" s="32">
        <f>I64</f>
        <v>0</v>
      </c>
      <c r="J63" s="21">
        <f t="shared" si="10"/>
        <v>47977950</v>
      </c>
      <c r="K63" s="32">
        <f>K64</f>
        <v>0</v>
      </c>
      <c r="L63" s="32">
        <f>L64</f>
        <v>0</v>
      </c>
      <c r="M63" s="32">
        <f>M64</f>
        <v>0</v>
      </c>
      <c r="N63" s="32">
        <f>N64</f>
        <v>47977950</v>
      </c>
      <c r="O63" s="32">
        <f>O64</f>
        <v>47977950</v>
      </c>
      <c r="P63" s="30">
        <f t="shared" si="1"/>
        <v>47977950</v>
      </c>
      <c r="Q63" s="35"/>
      <c r="R63" s="35"/>
      <c r="S63" s="35"/>
      <c r="T63" s="4"/>
      <c r="U63" s="7"/>
      <c r="V63" s="7"/>
      <c r="X63" s="7"/>
    </row>
    <row r="64" spans="1:26" ht="25.15" customHeight="1" x14ac:dyDescent="0.2">
      <c r="A64" s="6" t="s">
        <v>376</v>
      </c>
      <c r="B64" s="20" t="s">
        <v>377</v>
      </c>
      <c r="C64" s="20" t="s">
        <v>339</v>
      </c>
      <c r="D64" s="49" t="s">
        <v>378</v>
      </c>
      <c r="E64" s="40">
        <f t="shared" si="9"/>
        <v>0</v>
      </c>
      <c r="F64" s="32"/>
      <c r="G64" s="32"/>
      <c r="H64" s="32"/>
      <c r="I64" s="14"/>
      <c r="J64" s="21">
        <f t="shared" si="10"/>
        <v>47977950</v>
      </c>
      <c r="K64" s="32"/>
      <c r="L64" s="32"/>
      <c r="M64" s="32"/>
      <c r="N64" s="32">
        <f>O64</f>
        <v>47977950</v>
      </c>
      <c r="O64" s="32">
        <f>30000000+20000000-2022050</f>
        <v>47977950</v>
      </c>
      <c r="P64" s="30">
        <f t="shared" si="1"/>
        <v>47977950</v>
      </c>
      <c r="Q64" s="35"/>
      <c r="R64" s="35"/>
      <c r="S64" s="35"/>
      <c r="T64" s="4"/>
      <c r="U64" s="7"/>
      <c r="V64" s="7"/>
      <c r="X64" s="7"/>
    </row>
    <row r="65" spans="1:27" ht="17.45" customHeight="1" x14ac:dyDescent="0.2">
      <c r="A65" s="6" t="s">
        <v>335</v>
      </c>
      <c r="B65" s="20" t="s">
        <v>329</v>
      </c>
      <c r="C65" s="20"/>
      <c r="D65" s="97" t="s">
        <v>334</v>
      </c>
      <c r="E65" s="40">
        <f t="shared" si="9"/>
        <v>0</v>
      </c>
      <c r="F65" s="32">
        <f>F67+F66</f>
        <v>0</v>
      </c>
      <c r="G65" s="32">
        <f>G67+G66</f>
        <v>0</v>
      </c>
      <c r="H65" s="32">
        <f>H67+H66</f>
        <v>0</v>
      </c>
      <c r="I65" s="32">
        <f>I67+I66</f>
        <v>0</v>
      </c>
      <c r="J65" s="40">
        <f t="shared" si="10"/>
        <v>11548000</v>
      </c>
      <c r="K65" s="32">
        <f>K67+K66</f>
        <v>0</v>
      </c>
      <c r="L65" s="32">
        <f>L67+L66</f>
        <v>0</v>
      </c>
      <c r="M65" s="32">
        <f>M67+M66</f>
        <v>0</v>
      </c>
      <c r="N65" s="32">
        <f>N67+N66</f>
        <v>11548000</v>
      </c>
      <c r="O65" s="32">
        <f>O67+O66</f>
        <v>11548000</v>
      </c>
      <c r="P65" s="30">
        <f>E65+J65</f>
        <v>11548000</v>
      </c>
      <c r="Q65" s="35"/>
      <c r="R65" s="35"/>
      <c r="S65" s="35"/>
      <c r="T65" s="4"/>
      <c r="U65" s="7"/>
      <c r="V65" s="7"/>
      <c r="X65" s="7"/>
    </row>
    <row r="66" spans="1:27" s="45" customFormat="1" ht="52.9" customHeight="1" x14ac:dyDescent="0.2">
      <c r="A66" s="38" t="s">
        <v>379</v>
      </c>
      <c r="B66" s="73" t="s">
        <v>380</v>
      </c>
      <c r="C66" s="73" t="s">
        <v>312</v>
      </c>
      <c r="D66" s="74" t="s">
        <v>381</v>
      </c>
      <c r="E66" s="40">
        <f t="shared" si="9"/>
        <v>0</v>
      </c>
      <c r="F66" s="41"/>
      <c r="G66" s="41"/>
      <c r="H66" s="41"/>
      <c r="I66" s="41"/>
      <c r="J66" s="40">
        <f t="shared" si="10"/>
        <v>836000</v>
      </c>
      <c r="K66" s="41"/>
      <c r="L66" s="41"/>
      <c r="M66" s="41"/>
      <c r="N66" s="41">
        <f>O66</f>
        <v>836000</v>
      </c>
      <c r="O66" s="41">
        <f>800000+36000</f>
        <v>836000</v>
      </c>
      <c r="P66" s="48">
        <f>E66+J66</f>
        <v>836000</v>
      </c>
      <c r="Q66" s="43"/>
      <c r="R66" s="43"/>
      <c r="S66" s="43"/>
      <c r="T66" s="51"/>
      <c r="U66" s="44"/>
      <c r="V66" s="44"/>
      <c r="X66" s="44"/>
      <c r="Y66" s="133"/>
      <c r="Z66" s="141"/>
    </row>
    <row r="67" spans="1:27" s="45" customFormat="1" ht="51" x14ac:dyDescent="0.2">
      <c r="A67" s="38" t="s">
        <v>336</v>
      </c>
      <c r="B67" s="73" t="s">
        <v>330</v>
      </c>
      <c r="C67" s="73" t="s">
        <v>312</v>
      </c>
      <c r="D67" s="74" t="s">
        <v>333</v>
      </c>
      <c r="E67" s="40">
        <f t="shared" si="9"/>
        <v>0</v>
      </c>
      <c r="F67" s="41"/>
      <c r="G67" s="41"/>
      <c r="H67" s="41"/>
      <c r="I67" s="42"/>
      <c r="J67" s="40">
        <f t="shared" si="10"/>
        <v>10712000</v>
      </c>
      <c r="K67" s="41"/>
      <c r="L67" s="41"/>
      <c r="M67" s="41"/>
      <c r="N67" s="41">
        <f>O67</f>
        <v>10712000</v>
      </c>
      <c r="O67" s="40">
        <f>10000000+300000+400000+12000</f>
        <v>10712000</v>
      </c>
      <c r="P67" s="48">
        <f>E67+J67</f>
        <v>10712000</v>
      </c>
      <c r="Q67" s="43"/>
      <c r="R67" s="43"/>
      <c r="S67" s="43"/>
      <c r="T67" s="51"/>
      <c r="U67" s="44"/>
      <c r="V67" s="44"/>
      <c r="X67" s="44"/>
      <c r="Y67" s="133"/>
      <c r="Z67" s="141"/>
    </row>
    <row r="68" spans="1:27" ht="38.25" x14ac:dyDescent="0.2">
      <c r="A68" s="6" t="s">
        <v>201</v>
      </c>
      <c r="B68" s="6" t="s">
        <v>199</v>
      </c>
      <c r="C68" s="6" t="s">
        <v>27</v>
      </c>
      <c r="D68" s="62" t="s">
        <v>200</v>
      </c>
      <c r="E68" s="63">
        <f t="shared" si="9"/>
        <v>0</v>
      </c>
      <c r="F68" s="63"/>
      <c r="G68" s="63"/>
      <c r="H68" s="63"/>
      <c r="I68" s="64"/>
      <c r="J68" s="63">
        <f t="shared" si="10"/>
        <v>21846335</v>
      </c>
      <c r="K68" s="63"/>
      <c r="L68" s="63"/>
      <c r="M68" s="63"/>
      <c r="N68" s="32">
        <f>O68+9207700+12638635</f>
        <v>21846335</v>
      </c>
      <c r="O68" s="63"/>
      <c r="P68" s="30">
        <f t="shared" si="1"/>
        <v>21846335</v>
      </c>
      <c r="Q68" s="35"/>
      <c r="R68" s="35">
        <f t="shared" si="2"/>
        <v>21846335</v>
      </c>
      <c r="S68" s="35"/>
      <c r="T68" s="4"/>
      <c r="U68" s="7">
        <f t="shared" si="3"/>
        <v>21846335</v>
      </c>
      <c r="V68" s="7"/>
      <c r="X68" s="7"/>
    </row>
    <row r="69" spans="1:27" s="8" customFormat="1" ht="25.5" x14ac:dyDescent="0.2">
      <c r="A69" s="3" t="s">
        <v>14</v>
      </c>
      <c r="B69" s="19"/>
      <c r="C69" s="19"/>
      <c r="D69" s="9" t="s">
        <v>59</v>
      </c>
      <c r="E69" s="30">
        <f t="shared" si="9"/>
        <v>160311581</v>
      </c>
      <c r="F69" s="30">
        <f>F70</f>
        <v>160311581</v>
      </c>
      <c r="G69" s="30">
        <f>G70</f>
        <v>66740100</v>
      </c>
      <c r="H69" s="30">
        <f>H70</f>
        <v>14722400</v>
      </c>
      <c r="I69" s="30">
        <f>I70</f>
        <v>0</v>
      </c>
      <c r="J69" s="30">
        <f t="shared" si="10"/>
        <v>42153923</v>
      </c>
      <c r="K69" s="30">
        <f>K70</f>
        <v>31368400</v>
      </c>
      <c r="L69" s="30">
        <f>L70</f>
        <v>0</v>
      </c>
      <c r="M69" s="30">
        <f>M70</f>
        <v>53000</v>
      </c>
      <c r="N69" s="30">
        <f>N70</f>
        <v>10785523</v>
      </c>
      <c r="O69" s="30">
        <f>O70</f>
        <v>9634523</v>
      </c>
      <c r="P69" s="30">
        <f t="shared" si="1"/>
        <v>202465504</v>
      </c>
      <c r="Q69" s="35">
        <v>140746900</v>
      </c>
      <c r="R69" s="35">
        <f t="shared" si="2"/>
        <v>61718604</v>
      </c>
      <c r="S69" s="35"/>
      <c r="T69" s="4">
        <v>150925934.93000001</v>
      </c>
      <c r="U69" s="7">
        <f t="shared" si="3"/>
        <v>51539569.069999993</v>
      </c>
      <c r="V69" s="7"/>
      <c r="X69" s="7"/>
      <c r="Y69" s="132">
        <v>170996976</v>
      </c>
      <c r="Z69" s="140">
        <f>P69-Y69</f>
        <v>31468528</v>
      </c>
      <c r="AA69" s="8" t="s">
        <v>434</v>
      </c>
    </row>
    <row r="70" spans="1:27" s="8" customFormat="1" ht="38.25" x14ac:dyDescent="0.2">
      <c r="A70" s="3" t="s">
        <v>15</v>
      </c>
      <c r="B70" s="19"/>
      <c r="C70" s="19"/>
      <c r="D70" s="9" t="s">
        <v>56</v>
      </c>
      <c r="E70" s="30">
        <f t="shared" si="9"/>
        <v>160311581</v>
      </c>
      <c r="F70" s="30">
        <f>F72+F75+F77+F78+F71</f>
        <v>160311581</v>
      </c>
      <c r="G70" s="30">
        <f>G72+G75+G77+G78+G71</f>
        <v>66740100</v>
      </c>
      <c r="H70" s="30">
        <f>H72+H75+H77+H78+H71</f>
        <v>14722400</v>
      </c>
      <c r="I70" s="30">
        <f>I72+I75+I77+I78+I71</f>
        <v>0</v>
      </c>
      <c r="J70" s="30">
        <f t="shared" si="10"/>
        <v>42153923</v>
      </c>
      <c r="K70" s="30">
        <f>K72+K75+K77+K78+K71</f>
        <v>31368400</v>
      </c>
      <c r="L70" s="30">
        <f>L72+L75+L77+L78+L71</f>
        <v>0</v>
      </c>
      <c r="M70" s="30">
        <f>M72+M75+M77+M78+M71</f>
        <v>53000</v>
      </c>
      <c r="N70" s="30">
        <f>N72+N75+N77+N78+N71</f>
        <v>10785523</v>
      </c>
      <c r="O70" s="30">
        <f>O72+O75+O77+O78+O71</f>
        <v>9634523</v>
      </c>
      <c r="P70" s="30">
        <f t="shared" si="1"/>
        <v>202465504</v>
      </c>
      <c r="Q70" s="35"/>
      <c r="R70" s="35">
        <f t="shared" si="2"/>
        <v>202465504</v>
      </c>
      <c r="S70" s="35"/>
      <c r="T70" s="4"/>
      <c r="U70" s="7">
        <f t="shared" si="3"/>
        <v>202465504</v>
      </c>
      <c r="V70" s="7"/>
      <c r="X70" s="7"/>
      <c r="Y70" s="132"/>
      <c r="Z70" s="140">
        <f>Z69-F71</f>
        <v>6963528</v>
      </c>
    </row>
    <row r="71" spans="1:27" s="118" customFormat="1" ht="46.15" customHeight="1" x14ac:dyDescent="0.2">
      <c r="A71" s="6" t="s">
        <v>419</v>
      </c>
      <c r="B71" s="20" t="s">
        <v>420</v>
      </c>
      <c r="C71" s="20" t="s">
        <v>28</v>
      </c>
      <c r="D71" s="97" t="s">
        <v>421</v>
      </c>
      <c r="E71" s="21">
        <f t="shared" si="9"/>
        <v>24505000</v>
      </c>
      <c r="F71" s="21">
        <v>24505000</v>
      </c>
      <c r="G71" s="21"/>
      <c r="H71" s="21"/>
      <c r="I71" s="21">
        <f>I72+I73</f>
        <v>0</v>
      </c>
      <c r="J71" s="21"/>
      <c r="K71" s="21"/>
      <c r="L71" s="21"/>
      <c r="M71" s="21"/>
      <c r="N71" s="21"/>
      <c r="O71" s="21"/>
      <c r="P71" s="30">
        <f t="shared" si="1"/>
        <v>24505000</v>
      </c>
      <c r="Q71" s="47"/>
      <c r="R71" s="47"/>
      <c r="S71" s="47"/>
      <c r="T71" s="4"/>
      <c r="U71" s="4"/>
      <c r="V71" s="4"/>
      <c r="W71" s="5"/>
      <c r="X71" s="4"/>
      <c r="Y71" s="123"/>
      <c r="Z71" s="125"/>
    </row>
    <row r="72" spans="1:27" ht="63.75" x14ac:dyDescent="0.2">
      <c r="A72" s="6" t="s">
        <v>219</v>
      </c>
      <c r="B72" s="6" t="s">
        <v>111</v>
      </c>
      <c r="C72" s="6"/>
      <c r="D72" s="27" t="s">
        <v>212</v>
      </c>
      <c r="E72" s="21">
        <f t="shared" si="9"/>
        <v>114573781</v>
      </c>
      <c r="F72" s="21">
        <f>F73+F74</f>
        <v>114573781</v>
      </c>
      <c r="G72" s="21">
        <f>G73+G74</f>
        <v>63949100</v>
      </c>
      <c r="H72" s="21">
        <f>H73+H74</f>
        <v>14586200</v>
      </c>
      <c r="I72" s="21">
        <f>I73+I74</f>
        <v>0</v>
      </c>
      <c r="J72" s="21">
        <f t="shared" si="10"/>
        <v>42153923</v>
      </c>
      <c r="K72" s="21">
        <f>K73+K74</f>
        <v>31368400</v>
      </c>
      <c r="L72" s="21">
        <f>L73+L74</f>
        <v>0</v>
      </c>
      <c r="M72" s="21">
        <f>M73+M74</f>
        <v>53000</v>
      </c>
      <c r="N72" s="21">
        <f>N73+N74</f>
        <v>10785523</v>
      </c>
      <c r="O72" s="21">
        <f>O73+O74</f>
        <v>9634523</v>
      </c>
      <c r="P72" s="30">
        <f t="shared" si="1"/>
        <v>156727704</v>
      </c>
      <c r="Q72" s="35"/>
      <c r="R72" s="35">
        <f t="shared" si="2"/>
        <v>156727704</v>
      </c>
      <c r="S72" s="35"/>
      <c r="T72" s="4"/>
      <c r="U72" s="7">
        <f t="shared" si="3"/>
        <v>156727704</v>
      </c>
      <c r="V72" s="7"/>
      <c r="X72" s="7"/>
    </row>
    <row r="73" spans="1:27" s="45" customFormat="1" ht="64.900000000000006" customHeight="1" x14ac:dyDescent="0.2">
      <c r="A73" s="38" t="s">
        <v>220</v>
      </c>
      <c r="B73" s="38">
        <v>3101</v>
      </c>
      <c r="C73" s="38" t="s">
        <v>90</v>
      </c>
      <c r="D73" s="39" t="s">
        <v>20</v>
      </c>
      <c r="E73" s="40">
        <f t="shared" si="9"/>
        <v>6935572</v>
      </c>
      <c r="F73" s="41">
        <f>6809800+69699+56073</f>
        <v>6935572</v>
      </c>
      <c r="G73" s="41">
        <v>3996200</v>
      </c>
      <c r="H73" s="40">
        <v>1053900</v>
      </c>
      <c r="I73" s="46"/>
      <c r="J73" s="40">
        <f t="shared" si="10"/>
        <v>1801594</v>
      </c>
      <c r="K73" s="41">
        <v>1306000</v>
      </c>
      <c r="L73" s="41"/>
      <c r="M73" s="40">
        <v>5000</v>
      </c>
      <c r="N73" s="41">
        <f>O73+80000</f>
        <v>495594</v>
      </c>
      <c r="O73" s="40">
        <f>410594+5000</f>
        <v>415594</v>
      </c>
      <c r="P73" s="30">
        <f t="shared" si="1"/>
        <v>8737166</v>
      </c>
      <c r="Q73" s="43"/>
      <c r="R73" s="35">
        <f t="shared" si="2"/>
        <v>8737166</v>
      </c>
      <c r="S73" s="43"/>
      <c r="T73" s="51"/>
      <c r="U73" s="7">
        <f t="shared" si="3"/>
        <v>8737166</v>
      </c>
      <c r="V73" s="44"/>
      <c r="X73" s="44"/>
      <c r="Y73" s="133"/>
      <c r="Z73" s="141"/>
    </row>
    <row r="74" spans="1:27" s="45" customFormat="1" ht="109.9" customHeight="1" x14ac:dyDescent="0.2">
      <c r="A74" s="38" t="s">
        <v>221</v>
      </c>
      <c r="B74" s="38">
        <v>3102</v>
      </c>
      <c r="C74" s="38" t="s">
        <v>91</v>
      </c>
      <c r="D74" s="39" t="s">
        <v>211</v>
      </c>
      <c r="E74" s="40">
        <f t="shared" si="9"/>
        <v>107638209</v>
      </c>
      <c r="F74" s="41">
        <f>107554100+84109</f>
        <v>107638209</v>
      </c>
      <c r="G74" s="41">
        <v>59952900</v>
      </c>
      <c r="H74" s="40">
        <v>13532300</v>
      </c>
      <c r="I74" s="46"/>
      <c r="J74" s="40">
        <f t="shared" si="10"/>
        <v>40352329</v>
      </c>
      <c r="K74" s="41">
        <v>30062400</v>
      </c>
      <c r="L74" s="41"/>
      <c r="M74" s="40">
        <v>48000</v>
      </c>
      <c r="N74" s="41">
        <f>O74+1071000</f>
        <v>10289929</v>
      </c>
      <c r="O74" s="40">
        <f>1467368+899363+734962+702017+459723+160222+76192+39171+25498+1826806+521960-5000+70000+15149+1413014+468208+344276</f>
        <v>9218929</v>
      </c>
      <c r="P74" s="30">
        <f t="shared" si="1"/>
        <v>147990538</v>
      </c>
      <c r="Q74" s="43"/>
      <c r="R74" s="35">
        <f t="shared" si="2"/>
        <v>147990538</v>
      </c>
      <c r="S74" s="43"/>
      <c r="T74" s="51"/>
      <c r="U74" s="7">
        <f t="shared" si="3"/>
        <v>147990538</v>
      </c>
      <c r="V74" s="44"/>
      <c r="X74" s="44"/>
      <c r="Y74" s="133"/>
      <c r="Z74" s="141"/>
    </row>
    <row r="75" spans="1:27" ht="25.5" x14ac:dyDescent="0.2">
      <c r="A75" s="6" t="s">
        <v>222</v>
      </c>
      <c r="B75" s="6" t="s">
        <v>213</v>
      </c>
      <c r="C75" s="6"/>
      <c r="D75" s="27" t="s">
        <v>112</v>
      </c>
      <c r="E75" s="21">
        <f t="shared" si="9"/>
        <v>400000</v>
      </c>
      <c r="F75" s="32">
        <f>F76</f>
        <v>400000</v>
      </c>
      <c r="G75" s="32">
        <f>G76</f>
        <v>0</v>
      </c>
      <c r="H75" s="32">
        <f>H76</f>
        <v>0</v>
      </c>
      <c r="I75" s="32">
        <f>I76</f>
        <v>0</v>
      </c>
      <c r="J75" s="21">
        <f t="shared" si="10"/>
        <v>0</v>
      </c>
      <c r="K75" s="32">
        <f>K76</f>
        <v>0</v>
      </c>
      <c r="L75" s="32">
        <f>L76</f>
        <v>0</v>
      </c>
      <c r="M75" s="32">
        <f>M76</f>
        <v>0</v>
      </c>
      <c r="N75" s="32">
        <f>N76</f>
        <v>0</v>
      </c>
      <c r="O75" s="32">
        <f>O76</f>
        <v>0</v>
      </c>
      <c r="P75" s="30">
        <f t="shared" si="1"/>
        <v>400000</v>
      </c>
      <c r="Q75" s="35"/>
      <c r="R75" s="35">
        <f t="shared" si="2"/>
        <v>400000</v>
      </c>
      <c r="S75" s="35"/>
      <c r="T75" s="4"/>
      <c r="U75" s="7">
        <f t="shared" si="3"/>
        <v>400000</v>
      </c>
      <c r="V75" s="7"/>
      <c r="X75" s="7"/>
    </row>
    <row r="76" spans="1:27" s="45" customFormat="1" ht="58.15" customHeight="1" x14ac:dyDescent="0.2">
      <c r="A76" s="38" t="s">
        <v>223</v>
      </c>
      <c r="B76" s="38" t="s">
        <v>214</v>
      </c>
      <c r="C76" s="38" t="s">
        <v>92</v>
      </c>
      <c r="D76" s="39" t="s">
        <v>302</v>
      </c>
      <c r="E76" s="40">
        <f t="shared" si="9"/>
        <v>400000</v>
      </c>
      <c r="F76" s="41">
        <v>400000</v>
      </c>
      <c r="G76" s="41"/>
      <c r="H76" s="41"/>
      <c r="I76" s="42"/>
      <c r="J76" s="40">
        <f t="shared" si="10"/>
        <v>0</v>
      </c>
      <c r="K76" s="41"/>
      <c r="L76" s="41"/>
      <c r="M76" s="41"/>
      <c r="N76" s="41">
        <f>O76</f>
        <v>0</v>
      </c>
      <c r="O76" s="40"/>
      <c r="P76" s="30">
        <f t="shared" si="1"/>
        <v>400000</v>
      </c>
      <c r="Q76" s="43"/>
      <c r="R76" s="35">
        <f t="shared" si="2"/>
        <v>400000</v>
      </c>
      <c r="S76" s="43"/>
      <c r="T76" s="51"/>
      <c r="U76" s="7">
        <f t="shared" si="3"/>
        <v>400000</v>
      </c>
      <c r="V76" s="44"/>
      <c r="X76" s="44"/>
      <c r="Y76" s="133"/>
      <c r="Z76" s="141"/>
    </row>
    <row r="77" spans="1:27" ht="38.25" x14ac:dyDescent="0.2">
      <c r="A77" s="6" t="s">
        <v>286</v>
      </c>
      <c r="B77" s="6" t="s">
        <v>287</v>
      </c>
      <c r="C77" s="6" t="s">
        <v>36</v>
      </c>
      <c r="D77" s="27" t="s">
        <v>215</v>
      </c>
      <c r="E77" s="21">
        <f t="shared" si="9"/>
        <v>3052000</v>
      </c>
      <c r="F77" s="32">
        <v>3052000</v>
      </c>
      <c r="G77" s="32">
        <v>2178300</v>
      </c>
      <c r="H77" s="32">
        <v>108800</v>
      </c>
      <c r="I77" s="14"/>
      <c r="J77" s="21">
        <f t="shared" si="10"/>
        <v>0</v>
      </c>
      <c r="K77" s="32"/>
      <c r="L77" s="32"/>
      <c r="M77" s="32"/>
      <c r="N77" s="32">
        <f>O77</f>
        <v>0</v>
      </c>
      <c r="O77" s="21"/>
      <c r="P77" s="30">
        <f t="shared" si="1"/>
        <v>3052000</v>
      </c>
      <c r="Q77" s="35"/>
      <c r="R77" s="35">
        <f t="shared" si="2"/>
        <v>3052000</v>
      </c>
      <c r="S77" s="35"/>
      <c r="T77" s="4"/>
      <c r="U77" s="7">
        <f t="shared" si="3"/>
        <v>3052000</v>
      </c>
      <c r="V77" s="7"/>
      <c r="X77" s="7"/>
    </row>
    <row r="78" spans="1:27" ht="21" customHeight="1" x14ac:dyDescent="0.2">
      <c r="A78" s="6" t="s">
        <v>228</v>
      </c>
      <c r="B78" s="6">
        <v>3240</v>
      </c>
      <c r="C78" s="6"/>
      <c r="D78" s="27" t="s">
        <v>216</v>
      </c>
      <c r="E78" s="21">
        <f t="shared" si="9"/>
        <v>17780800</v>
      </c>
      <c r="F78" s="32">
        <f>F79+F80</f>
        <v>17780800</v>
      </c>
      <c r="G78" s="32">
        <f>G79+G80</f>
        <v>612700</v>
      </c>
      <c r="H78" s="32">
        <f>H79+H80</f>
        <v>27400</v>
      </c>
      <c r="I78" s="32">
        <f>I79+I80</f>
        <v>0</v>
      </c>
      <c r="J78" s="21">
        <f t="shared" si="10"/>
        <v>0</v>
      </c>
      <c r="K78" s="32">
        <f>K79+K80</f>
        <v>0</v>
      </c>
      <c r="L78" s="32">
        <f>L79+L80</f>
        <v>0</v>
      </c>
      <c r="M78" s="32">
        <f>M79+M80</f>
        <v>0</v>
      </c>
      <c r="N78" s="32">
        <f>N79+N80</f>
        <v>0</v>
      </c>
      <c r="O78" s="32">
        <f>O79+O80</f>
        <v>0</v>
      </c>
      <c r="P78" s="30">
        <f t="shared" si="1"/>
        <v>17780800</v>
      </c>
      <c r="Q78" s="35"/>
      <c r="R78" s="35">
        <f t="shared" si="2"/>
        <v>17780800</v>
      </c>
      <c r="S78" s="35"/>
      <c r="T78" s="4"/>
      <c r="U78" s="7">
        <f t="shared" si="3"/>
        <v>17780800</v>
      </c>
      <c r="V78" s="7"/>
      <c r="X78" s="7"/>
    </row>
    <row r="79" spans="1:27" s="45" customFormat="1" ht="44.45" customHeight="1" x14ac:dyDescent="0.2">
      <c r="A79" s="38" t="s">
        <v>225</v>
      </c>
      <c r="B79" s="38" t="s">
        <v>224</v>
      </c>
      <c r="C79" s="38" t="s">
        <v>36</v>
      </c>
      <c r="D79" s="39" t="s">
        <v>217</v>
      </c>
      <c r="E79" s="40">
        <f t="shared" si="9"/>
        <v>798800</v>
      </c>
      <c r="F79" s="41">
        <v>798800</v>
      </c>
      <c r="G79" s="41">
        <v>612700</v>
      </c>
      <c r="H79" s="41">
        <v>27400</v>
      </c>
      <c r="I79" s="42"/>
      <c r="J79" s="40">
        <f t="shared" si="10"/>
        <v>0</v>
      </c>
      <c r="K79" s="41"/>
      <c r="L79" s="41"/>
      <c r="M79" s="41"/>
      <c r="N79" s="41">
        <f>O79</f>
        <v>0</v>
      </c>
      <c r="O79" s="40"/>
      <c r="P79" s="30">
        <f t="shared" si="1"/>
        <v>798800</v>
      </c>
      <c r="Q79" s="43"/>
      <c r="R79" s="43"/>
      <c r="S79" s="43"/>
      <c r="T79" s="51"/>
      <c r="U79" s="44"/>
      <c r="V79" s="44"/>
      <c r="X79" s="44"/>
      <c r="Y79" s="133"/>
      <c r="Z79" s="141"/>
    </row>
    <row r="80" spans="1:27" s="45" customFormat="1" ht="33.6" customHeight="1" x14ac:dyDescent="0.2">
      <c r="A80" s="38" t="s">
        <v>227</v>
      </c>
      <c r="B80" s="38" t="s">
        <v>226</v>
      </c>
      <c r="C80" s="38" t="s">
        <v>36</v>
      </c>
      <c r="D80" s="39" t="s">
        <v>218</v>
      </c>
      <c r="E80" s="40">
        <f t="shared" si="9"/>
        <v>16982000</v>
      </c>
      <c r="F80" s="41">
        <f>12269000+200000+2000000+2000000+513000</f>
        <v>16982000</v>
      </c>
      <c r="G80" s="41"/>
      <c r="H80" s="41"/>
      <c r="I80" s="42"/>
      <c r="J80" s="40">
        <f t="shared" si="10"/>
        <v>0</v>
      </c>
      <c r="K80" s="41"/>
      <c r="L80" s="41"/>
      <c r="M80" s="41"/>
      <c r="N80" s="41">
        <f>O80</f>
        <v>0</v>
      </c>
      <c r="O80" s="40"/>
      <c r="P80" s="30">
        <f t="shared" si="1"/>
        <v>16982000</v>
      </c>
      <c r="Q80" s="43"/>
      <c r="R80" s="43"/>
      <c r="S80" s="43"/>
      <c r="T80" s="51"/>
      <c r="U80" s="44"/>
      <c r="V80" s="44"/>
      <c r="X80" s="44"/>
      <c r="Y80" s="133"/>
      <c r="Z80" s="141"/>
    </row>
    <row r="81" spans="1:26" s="8" customFormat="1" ht="25.5" x14ac:dyDescent="0.2">
      <c r="A81" s="1">
        <v>1100000</v>
      </c>
      <c r="B81" s="3"/>
      <c r="C81" s="3"/>
      <c r="D81" s="28" t="s">
        <v>101</v>
      </c>
      <c r="E81" s="30">
        <f t="shared" si="9"/>
        <v>32950553</v>
      </c>
      <c r="F81" s="30">
        <f>F82</f>
        <v>32950553</v>
      </c>
      <c r="G81" s="30">
        <f>G82</f>
        <v>10948342</v>
      </c>
      <c r="H81" s="30">
        <f>H82</f>
        <v>1042000</v>
      </c>
      <c r="I81" s="30">
        <f>I82</f>
        <v>0</v>
      </c>
      <c r="J81" s="30">
        <f t="shared" si="10"/>
        <v>862968</v>
      </c>
      <c r="K81" s="30">
        <f>K82</f>
        <v>205000</v>
      </c>
      <c r="L81" s="30">
        <f>L82</f>
        <v>0</v>
      </c>
      <c r="M81" s="30">
        <f>M82</f>
        <v>0</v>
      </c>
      <c r="N81" s="30">
        <f>N82</f>
        <v>657968</v>
      </c>
      <c r="O81" s="30">
        <f>O82</f>
        <v>657968</v>
      </c>
      <c r="P81" s="30">
        <f t="shared" si="1"/>
        <v>33813521</v>
      </c>
      <c r="Q81" s="35">
        <v>27528100</v>
      </c>
      <c r="R81" s="35">
        <f t="shared" si="2"/>
        <v>6285421</v>
      </c>
      <c r="S81" s="35"/>
      <c r="T81" s="4">
        <v>27805100</v>
      </c>
      <c r="U81" s="7">
        <f t="shared" si="3"/>
        <v>6008421</v>
      </c>
      <c r="V81" s="7"/>
      <c r="X81" s="7"/>
      <c r="Y81" s="132">
        <v>32982322</v>
      </c>
      <c r="Z81" s="140">
        <f>P81-Y81</f>
        <v>831199</v>
      </c>
    </row>
    <row r="82" spans="1:26" s="8" customFormat="1" ht="25.5" x14ac:dyDescent="0.2">
      <c r="A82" s="1">
        <v>1110000</v>
      </c>
      <c r="B82" s="3"/>
      <c r="C82" s="3"/>
      <c r="D82" s="28" t="s">
        <v>102</v>
      </c>
      <c r="E82" s="30">
        <f t="shared" si="9"/>
        <v>32950553</v>
      </c>
      <c r="F82" s="30">
        <f>F83+F85+F87+F89+F91+F94+F97+F101+F103</f>
        <v>32950553</v>
      </c>
      <c r="G82" s="30">
        <f>G83+G85+G87+G89+G91+G94+G97+G101+G103</f>
        <v>10948342</v>
      </c>
      <c r="H82" s="30">
        <f>H83+H85+H87+H89+H91+H94+H97+H101+H103</f>
        <v>1042000</v>
      </c>
      <c r="I82" s="30">
        <f>I83+I85+I87+I89+I91+I94+I97+I101+I103</f>
        <v>0</v>
      </c>
      <c r="J82" s="30">
        <f t="shared" si="10"/>
        <v>862968</v>
      </c>
      <c r="K82" s="30">
        <f>K83+K85+K87+K89+K91+K94+K97+K101+K103</f>
        <v>205000</v>
      </c>
      <c r="L82" s="30">
        <f>L83+L85+L87+L89+L91+L94+L97+L101+L103</f>
        <v>0</v>
      </c>
      <c r="M82" s="30">
        <f>M83+M85+M87+M89+M91+M94+M97+M101+M103</f>
        <v>0</v>
      </c>
      <c r="N82" s="30">
        <f>N83+N85+N87+N89+N91+N94+N97+N101+N103</f>
        <v>657968</v>
      </c>
      <c r="O82" s="30">
        <f>O83+O85+O87+O89+O91+O94+O97+O101+O103</f>
        <v>657968</v>
      </c>
      <c r="P82" s="30">
        <f t="shared" si="1"/>
        <v>33813521</v>
      </c>
      <c r="Q82" s="35"/>
      <c r="R82" s="35">
        <f t="shared" si="2"/>
        <v>33813521</v>
      </c>
      <c r="S82" s="35"/>
      <c r="T82" s="4"/>
      <c r="U82" s="7">
        <f t="shared" si="3"/>
        <v>33813521</v>
      </c>
      <c r="V82" s="7"/>
      <c r="X82" s="7"/>
      <c r="Y82" s="132"/>
      <c r="Z82" s="140"/>
    </row>
    <row r="83" spans="1:26" ht="25.5" x14ac:dyDescent="0.2">
      <c r="A83" s="2">
        <v>1113110</v>
      </c>
      <c r="B83" s="6" t="s">
        <v>113</v>
      </c>
      <c r="C83" s="6"/>
      <c r="D83" s="25" t="s">
        <v>114</v>
      </c>
      <c r="E83" s="21">
        <f t="shared" si="9"/>
        <v>707251</v>
      </c>
      <c r="F83" s="21">
        <f>F84</f>
        <v>707251</v>
      </c>
      <c r="G83" s="21">
        <f>G84</f>
        <v>420028</v>
      </c>
      <c r="H83" s="21">
        <f>H84</f>
        <v>62290</v>
      </c>
      <c r="I83" s="21">
        <f>I84</f>
        <v>0</v>
      </c>
      <c r="J83" s="21">
        <f t="shared" si="10"/>
        <v>22615</v>
      </c>
      <c r="K83" s="21">
        <f>K84</f>
        <v>0</v>
      </c>
      <c r="L83" s="21">
        <f>L84</f>
        <v>0</v>
      </c>
      <c r="M83" s="21">
        <f>M84</f>
        <v>0</v>
      </c>
      <c r="N83" s="21">
        <f>N84</f>
        <v>22615</v>
      </c>
      <c r="O83" s="21">
        <f>O84</f>
        <v>22615</v>
      </c>
      <c r="P83" s="30">
        <f t="shared" si="1"/>
        <v>729866</v>
      </c>
      <c r="Q83" s="47"/>
      <c r="R83" s="35">
        <f t="shared" si="2"/>
        <v>729866</v>
      </c>
      <c r="S83" s="47"/>
      <c r="T83" s="4"/>
      <c r="U83" s="7">
        <f t="shared" si="3"/>
        <v>729866</v>
      </c>
      <c r="V83" s="4"/>
      <c r="X83" s="4"/>
    </row>
    <row r="84" spans="1:26" s="45" customFormat="1" ht="38.25" x14ac:dyDescent="0.2">
      <c r="A84" s="37">
        <v>1113111</v>
      </c>
      <c r="B84" s="38" t="s">
        <v>93</v>
      </c>
      <c r="C84" s="38" t="s">
        <v>28</v>
      </c>
      <c r="D84" s="39" t="s">
        <v>12</v>
      </c>
      <c r="E84" s="40">
        <f t="shared" si="9"/>
        <v>707251</v>
      </c>
      <c r="F84" s="40">
        <f>700980+6271</f>
        <v>707251</v>
      </c>
      <c r="G84" s="40">
        <f>416200+3828</f>
        <v>420028</v>
      </c>
      <c r="H84" s="40">
        <v>62290</v>
      </c>
      <c r="I84" s="46"/>
      <c r="J84" s="40">
        <f t="shared" si="10"/>
        <v>22615</v>
      </c>
      <c r="K84" s="40"/>
      <c r="L84" s="40"/>
      <c r="M84" s="40"/>
      <c r="N84" s="40">
        <f>O84</f>
        <v>22615</v>
      </c>
      <c r="O84" s="40">
        <v>22615</v>
      </c>
      <c r="P84" s="30">
        <f t="shared" si="1"/>
        <v>729866</v>
      </c>
      <c r="Q84" s="43"/>
      <c r="R84" s="35">
        <f t="shared" si="2"/>
        <v>729866</v>
      </c>
      <c r="S84" s="43"/>
      <c r="T84" s="51"/>
      <c r="U84" s="7">
        <f t="shared" si="3"/>
        <v>729866</v>
      </c>
      <c r="V84" s="44"/>
      <c r="X84" s="44"/>
      <c r="Y84" s="133"/>
      <c r="Z84" s="141"/>
    </row>
    <row r="85" spans="1:26" ht="28.15" customHeight="1" x14ac:dyDescent="0.2">
      <c r="A85" s="2">
        <v>1113120</v>
      </c>
      <c r="B85" s="6">
        <v>3120</v>
      </c>
      <c r="C85" s="6"/>
      <c r="D85" s="25" t="s">
        <v>116</v>
      </c>
      <c r="E85" s="21">
        <f t="shared" si="9"/>
        <v>1398475</v>
      </c>
      <c r="F85" s="21">
        <f>F86</f>
        <v>1398475</v>
      </c>
      <c r="G85" s="21">
        <f>G86</f>
        <v>948100</v>
      </c>
      <c r="H85" s="21">
        <f>H86</f>
        <v>65360</v>
      </c>
      <c r="I85" s="21">
        <f>I86</f>
        <v>0</v>
      </c>
      <c r="J85" s="21">
        <f t="shared" si="10"/>
        <v>0</v>
      </c>
      <c r="K85" s="21">
        <f>K86</f>
        <v>0</v>
      </c>
      <c r="L85" s="21">
        <f>L86</f>
        <v>0</v>
      </c>
      <c r="M85" s="21">
        <f>M86</f>
        <v>0</v>
      </c>
      <c r="N85" s="21">
        <f>N86</f>
        <v>0</v>
      </c>
      <c r="O85" s="21">
        <f>O86</f>
        <v>0</v>
      </c>
      <c r="P85" s="30">
        <f t="shared" ref="P85:P163" si="12">E85+J85</f>
        <v>1398475</v>
      </c>
      <c r="Q85" s="35"/>
      <c r="R85" s="35"/>
      <c r="S85" s="35"/>
      <c r="T85" s="4"/>
      <c r="U85" s="7"/>
      <c r="V85" s="7"/>
      <c r="X85" s="7"/>
    </row>
    <row r="86" spans="1:26" s="45" customFormat="1" ht="43.15" customHeight="1" x14ac:dyDescent="0.2">
      <c r="A86" s="37">
        <v>1113121</v>
      </c>
      <c r="B86" s="38">
        <v>3121</v>
      </c>
      <c r="C86" s="38" t="s">
        <v>28</v>
      </c>
      <c r="D86" s="39" t="s">
        <v>273</v>
      </c>
      <c r="E86" s="40">
        <f t="shared" si="9"/>
        <v>1398475</v>
      </c>
      <c r="F86" s="40">
        <f>1390960+7515</f>
        <v>1398475</v>
      </c>
      <c r="G86" s="40">
        <v>948100</v>
      </c>
      <c r="H86" s="40">
        <v>65360</v>
      </c>
      <c r="I86" s="46"/>
      <c r="J86" s="40">
        <f t="shared" si="10"/>
        <v>0</v>
      </c>
      <c r="K86" s="40"/>
      <c r="L86" s="40"/>
      <c r="M86" s="40"/>
      <c r="N86" s="40">
        <f>O86</f>
        <v>0</v>
      </c>
      <c r="O86" s="40"/>
      <c r="P86" s="30">
        <f t="shared" si="12"/>
        <v>1398475</v>
      </c>
      <c r="Q86" s="43"/>
      <c r="R86" s="43"/>
      <c r="S86" s="43"/>
      <c r="T86" s="51"/>
      <c r="U86" s="44"/>
      <c r="V86" s="44"/>
      <c r="X86" s="44"/>
      <c r="Y86" s="133"/>
      <c r="Z86" s="141"/>
    </row>
    <row r="87" spans="1:26" ht="25.5" x14ac:dyDescent="0.2">
      <c r="A87" s="2">
        <v>1113130</v>
      </c>
      <c r="B87" s="6" t="s">
        <v>115</v>
      </c>
      <c r="C87" s="6"/>
      <c r="D87" s="27" t="s">
        <v>135</v>
      </c>
      <c r="E87" s="21">
        <f t="shared" si="9"/>
        <v>381810</v>
      </c>
      <c r="F87" s="21">
        <f>F88</f>
        <v>381810</v>
      </c>
      <c r="G87" s="21">
        <f>G88</f>
        <v>0</v>
      </c>
      <c r="H87" s="21">
        <f>H88</f>
        <v>0</v>
      </c>
      <c r="I87" s="21">
        <f>I88</f>
        <v>0</v>
      </c>
      <c r="J87" s="21">
        <f t="shared" si="10"/>
        <v>0</v>
      </c>
      <c r="K87" s="21">
        <f>K88</f>
        <v>0</v>
      </c>
      <c r="L87" s="21">
        <f>L88</f>
        <v>0</v>
      </c>
      <c r="M87" s="21">
        <f>M88</f>
        <v>0</v>
      </c>
      <c r="N87" s="21">
        <f>N88</f>
        <v>0</v>
      </c>
      <c r="O87" s="21">
        <f>O88</f>
        <v>0</v>
      </c>
      <c r="P87" s="30">
        <f t="shared" si="12"/>
        <v>381810</v>
      </c>
      <c r="Q87" s="35"/>
      <c r="R87" s="35">
        <f t="shared" si="2"/>
        <v>381810</v>
      </c>
      <c r="S87" s="35"/>
      <c r="T87" s="4"/>
      <c r="U87" s="7">
        <f t="shared" ref="U87:U163" si="13">P87-T87</f>
        <v>381810</v>
      </c>
      <c r="V87" s="7"/>
      <c r="X87" s="7"/>
    </row>
    <row r="88" spans="1:26" s="45" customFormat="1" ht="51" x14ac:dyDescent="0.2">
      <c r="A88" s="37">
        <v>1113131</v>
      </c>
      <c r="B88" s="38" t="s">
        <v>94</v>
      </c>
      <c r="C88" s="38" t="s">
        <v>28</v>
      </c>
      <c r="D88" s="39" t="s">
        <v>301</v>
      </c>
      <c r="E88" s="40">
        <f t="shared" si="9"/>
        <v>381810</v>
      </c>
      <c r="F88" s="40">
        <f>217150+164660</f>
        <v>381810</v>
      </c>
      <c r="G88" s="40"/>
      <c r="H88" s="40"/>
      <c r="I88" s="46"/>
      <c r="J88" s="40">
        <f t="shared" si="10"/>
        <v>0</v>
      </c>
      <c r="K88" s="40"/>
      <c r="L88" s="40"/>
      <c r="M88" s="40"/>
      <c r="N88" s="40">
        <f>O88</f>
        <v>0</v>
      </c>
      <c r="O88" s="40"/>
      <c r="P88" s="30">
        <f t="shared" si="12"/>
        <v>381810</v>
      </c>
      <c r="Q88" s="43"/>
      <c r="R88" s="35">
        <f t="shared" si="2"/>
        <v>381810</v>
      </c>
      <c r="S88" s="43"/>
      <c r="T88" s="51"/>
      <c r="U88" s="7">
        <f t="shared" si="13"/>
        <v>381810</v>
      </c>
      <c r="V88" s="44"/>
      <c r="X88" s="44"/>
      <c r="Y88" s="133"/>
      <c r="Z88" s="141"/>
    </row>
    <row r="89" spans="1:26" x14ac:dyDescent="0.2">
      <c r="A89" s="2">
        <v>1113240</v>
      </c>
      <c r="B89" s="6" t="s">
        <v>274</v>
      </c>
      <c r="C89" s="6"/>
      <c r="D89" s="27" t="s">
        <v>216</v>
      </c>
      <c r="E89" s="21">
        <f t="shared" ref="E89:E117" si="14">F89+I89</f>
        <v>4091957</v>
      </c>
      <c r="F89" s="21">
        <f>F90</f>
        <v>4091957</v>
      </c>
      <c r="G89" s="21">
        <f>G90</f>
        <v>1959214</v>
      </c>
      <c r="H89" s="21">
        <f>H90</f>
        <v>759820</v>
      </c>
      <c r="I89" s="21">
        <f>I90</f>
        <v>0</v>
      </c>
      <c r="J89" s="21">
        <f t="shared" ref="J89:J114" si="15">K89+N89</f>
        <v>205000</v>
      </c>
      <c r="K89" s="21">
        <f>K90</f>
        <v>205000</v>
      </c>
      <c r="L89" s="21">
        <f>L90</f>
        <v>0</v>
      </c>
      <c r="M89" s="21">
        <f>M90</f>
        <v>0</v>
      </c>
      <c r="N89" s="21">
        <f>N90</f>
        <v>0</v>
      </c>
      <c r="O89" s="21">
        <f>O90</f>
        <v>0</v>
      </c>
      <c r="P89" s="30">
        <f t="shared" si="12"/>
        <v>4296957</v>
      </c>
      <c r="Q89" s="35"/>
      <c r="R89" s="35">
        <f t="shared" ref="R89:R119" si="16">P89-Q89</f>
        <v>4296957</v>
      </c>
      <c r="S89" s="35"/>
      <c r="T89" s="4"/>
      <c r="U89" s="7">
        <f t="shared" si="13"/>
        <v>4296957</v>
      </c>
      <c r="V89" s="7"/>
      <c r="X89" s="7"/>
    </row>
    <row r="90" spans="1:26" s="45" customFormat="1" ht="38.25" x14ac:dyDescent="0.2">
      <c r="A90" s="37">
        <v>1113241</v>
      </c>
      <c r="B90" s="38" t="s">
        <v>224</v>
      </c>
      <c r="C90" s="38" t="s">
        <v>36</v>
      </c>
      <c r="D90" s="39" t="s">
        <v>217</v>
      </c>
      <c r="E90" s="40">
        <f t="shared" si="14"/>
        <v>4091957</v>
      </c>
      <c r="F90" s="40">
        <f>4001950+90007</f>
        <v>4091957</v>
      </c>
      <c r="G90" s="40">
        <f>1936900+22314</f>
        <v>1959214</v>
      </c>
      <c r="H90" s="40">
        <v>759820</v>
      </c>
      <c r="I90" s="40"/>
      <c r="J90" s="40">
        <f t="shared" si="15"/>
        <v>205000</v>
      </c>
      <c r="K90" s="40">
        <v>205000</v>
      </c>
      <c r="L90" s="40"/>
      <c r="M90" s="40"/>
      <c r="N90" s="40">
        <f>O90</f>
        <v>0</v>
      </c>
      <c r="O90" s="40"/>
      <c r="P90" s="30">
        <f t="shared" si="12"/>
        <v>4296957</v>
      </c>
      <c r="Q90" s="43"/>
      <c r="R90" s="43">
        <f t="shared" si="16"/>
        <v>4296957</v>
      </c>
      <c r="S90" s="43"/>
      <c r="T90" s="51"/>
      <c r="U90" s="44">
        <f t="shared" si="13"/>
        <v>4296957</v>
      </c>
      <c r="V90" s="44"/>
      <c r="X90" s="44"/>
      <c r="Y90" s="133"/>
      <c r="Z90" s="141"/>
    </row>
    <row r="91" spans="1:26" ht="26.45" customHeight="1" x14ac:dyDescent="0.2">
      <c r="A91" s="2">
        <v>1115010</v>
      </c>
      <c r="B91" s="6" t="s">
        <v>108</v>
      </c>
      <c r="C91" s="6"/>
      <c r="D91" s="27" t="s">
        <v>110</v>
      </c>
      <c r="E91" s="21">
        <f t="shared" si="14"/>
        <v>9904750</v>
      </c>
      <c r="F91" s="21">
        <f>F92+F93</f>
        <v>9904750</v>
      </c>
      <c r="G91" s="21">
        <f>G92+G93</f>
        <v>0</v>
      </c>
      <c r="H91" s="21">
        <f>H92+H93</f>
        <v>0</v>
      </c>
      <c r="I91" s="21">
        <f>I92+I93</f>
        <v>0</v>
      </c>
      <c r="J91" s="21">
        <f t="shared" si="15"/>
        <v>0</v>
      </c>
      <c r="K91" s="21">
        <f>K92+K93</f>
        <v>0</v>
      </c>
      <c r="L91" s="21">
        <f>L92+L93</f>
        <v>0</v>
      </c>
      <c r="M91" s="21">
        <f>M92+M93</f>
        <v>0</v>
      </c>
      <c r="N91" s="21">
        <f>N92+N93</f>
        <v>0</v>
      </c>
      <c r="O91" s="21">
        <f>O92+O93</f>
        <v>0</v>
      </c>
      <c r="P91" s="30">
        <f t="shared" si="12"/>
        <v>9904750</v>
      </c>
      <c r="Q91" s="35"/>
      <c r="R91" s="35"/>
      <c r="S91" s="35"/>
      <c r="T91" s="4"/>
      <c r="U91" s="7"/>
      <c r="V91" s="7"/>
      <c r="X91" s="7"/>
    </row>
    <row r="92" spans="1:26" s="45" customFormat="1" ht="38.25" x14ac:dyDescent="0.2">
      <c r="A92" s="37">
        <v>1115011</v>
      </c>
      <c r="B92" s="38" t="s">
        <v>46</v>
      </c>
      <c r="C92" s="38" t="s">
        <v>47</v>
      </c>
      <c r="D92" s="39" t="s">
        <v>121</v>
      </c>
      <c r="E92" s="40">
        <f t="shared" si="14"/>
        <v>7681940</v>
      </c>
      <c r="F92" s="40">
        <v>7681940</v>
      </c>
      <c r="G92" s="40"/>
      <c r="H92" s="40"/>
      <c r="I92" s="46"/>
      <c r="J92" s="40">
        <f t="shared" si="15"/>
        <v>0</v>
      </c>
      <c r="K92" s="40"/>
      <c r="L92" s="40"/>
      <c r="M92" s="40"/>
      <c r="N92" s="40">
        <f>O92</f>
        <v>0</v>
      </c>
      <c r="O92" s="40"/>
      <c r="P92" s="30">
        <f t="shared" si="12"/>
        <v>7681940</v>
      </c>
      <c r="Q92" s="43"/>
      <c r="R92" s="43">
        <f t="shared" si="16"/>
        <v>7681940</v>
      </c>
      <c r="S92" s="43"/>
      <c r="T92" s="51"/>
      <c r="U92" s="44">
        <f t="shared" si="13"/>
        <v>7681940</v>
      </c>
      <c r="V92" s="44"/>
      <c r="X92" s="44"/>
      <c r="Y92" s="133"/>
      <c r="Z92" s="141"/>
    </row>
    <row r="93" spans="1:26" s="45" customFormat="1" ht="38.25" x14ac:dyDescent="0.2">
      <c r="A93" s="37">
        <v>1115012</v>
      </c>
      <c r="B93" s="38" t="s">
        <v>97</v>
      </c>
      <c r="C93" s="38" t="s">
        <v>47</v>
      </c>
      <c r="D93" s="39" t="s">
        <v>16</v>
      </c>
      <c r="E93" s="40">
        <f t="shared" si="14"/>
        <v>2222810</v>
      </c>
      <c r="F93" s="40">
        <v>2222810</v>
      </c>
      <c r="G93" s="40"/>
      <c r="H93" s="40"/>
      <c r="I93" s="46"/>
      <c r="J93" s="40">
        <f t="shared" si="15"/>
        <v>0</v>
      </c>
      <c r="K93" s="40"/>
      <c r="L93" s="40"/>
      <c r="M93" s="40"/>
      <c r="N93" s="40">
        <f>O93</f>
        <v>0</v>
      </c>
      <c r="O93" s="40"/>
      <c r="P93" s="30">
        <f t="shared" si="12"/>
        <v>2222810</v>
      </c>
      <c r="Q93" s="43"/>
      <c r="R93" s="43">
        <f t="shared" si="16"/>
        <v>2222810</v>
      </c>
      <c r="S93" s="43"/>
      <c r="T93" s="51"/>
      <c r="U93" s="44">
        <f t="shared" si="13"/>
        <v>2222810</v>
      </c>
      <c r="V93" s="44"/>
      <c r="X93" s="44"/>
      <c r="Y93" s="133"/>
      <c r="Z93" s="141"/>
    </row>
    <row r="94" spans="1:26" ht="42.6" customHeight="1" x14ac:dyDescent="0.2">
      <c r="A94" s="2">
        <v>1115020</v>
      </c>
      <c r="B94" s="6" t="s">
        <v>109</v>
      </c>
      <c r="C94" s="6"/>
      <c r="D94" s="27" t="s">
        <v>303</v>
      </c>
      <c r="E94" s="21">
        <f>F94+I94</f>
        <v>2351920</v>
      </c>
      <c r="F94" s="21">
        <f>F95+F96</f>
        <v>2351920</v>
      </c>
      <c r="G94" s="21">
        <f>G95+G96</f>
        <v>1569000</v>
      </c>
      <c r="H94" s="21">
        <f>H95+H96</f>
        <v>16920</v>
      </c>
      <c r="I94" s="21">
        <f>I95+I96</f>
        <v>0</v>
      </c>
      <c r="J94" s="21">
        <f>K94+N94</f>
        <v>0</v>
      </c>
      <c r="K94" s="21">
        <f>K95+K96</f>
        <v>0</v>
      </c>
      <c r="L94" s="21">
        <f>L95+L96</f>
        <v>0</v>
      </c>
      <c r="M94" s="21">
        <f>M95+M96</f>
        <v>0</v>
      </c>
      <c r="N94" s="21">
        <f>N95+N96</f>
        <v>0</v>
      </c>
      <c r="O94" s="21">
        <f>O95+O96</f>
        <v>0</v>
      </c>
      <c r="P94" s="30">
        <f t="shared" si="12"/>
        <v>2351920</v>
      </c>
      <c r="Q94" s="35"/>
      <c r="R94" s="35">
        <f t="shared" si="16"/>
        <v>2351920</v>
      </c>
      <c r="S94" s="35"/>
      <c r="T94" s="4"/>
      <c r="U94" s="7">
        <f t="shared" si="13"/>
        <v>2351920</v>
      </c>
      <c r="V94" s="7"/>
      <c r="X94" s="7"/>
    </row>
    <row r="95" spans="1:26" s="45" customFormat="1" ht="42.6" customHeight="1" x14ac:dyDescent="0.2">
      <c r="A95" s="37">
        <v>1115021</v>
      </c>
      <c r="B95" s="38" t="s">
        <v>98</v>
      </c>
      <c r="C95" s="38" t="s">
        <v>47</v>
      </c>
      <c r="D95" s="39" t="s">
        <v>304</v>
      </c>
      <c r="E95" s="40">
        <f>F95+I95</f>
        <v>2082020</v>
      </c>
      <c r="F95" s="40">
        <f>2052020+30000</f>
        <v>2082020</v>
      </c>
      <c r="G95" s="40">
        <v>1569000</v>
      </c>
      <c r="H95" s="40">
        <v>16920</v>
      </c>
      <c r="I95" s="46"/>
      <c r="J95" s="40">
        <f>K95+N95</f>
        <v>0</v>
      </c>
      <c r="K95" s="40"/>
      <c r="L95" s="40"/>
      <c r="M95" s="40"/>
      <c r="N95" s="40">
        <f>O95</f>
        <v>0</v>
      </c>
      <c r="O95" s="40"/>
      <c r="P95" s="30">
        <f t="shared" si="12"/>
        <v>2082020</v>
      </c>
      <c r="Q95" s="43"/>
      <c r="R95" s="35">
        <f t="shared" si="16"/>
        <v>2082020</v>
      </c>
      <c r="S95" s="43"/>
      <c r="T95" s="51"/>
      <c r="U95" s="7">
        <f t="shared" si="13"/>
        <v>2082020</v>
      </c>
      <c r="V95" s="44"/>
      <c r="X95" s="44"/>
      <c r="Y95" s="133"/>
      <c r="Z95" s="141"/>
    </row>
    <row r="96" spans="1:26" s="45" customFormat="1" ht="38.25" x14ac:dyDescent="0.2">
      <c r="A96" s="37">
        <v>1115022</v>
      </c>
      <c r="B96" s="38" t="s">
        <v>48</v>
      </c>
      <c r="C96" s="38" t="s">
        <v>47</v>
      </c>
      <c r="D96" s="39" t="s">
        <v>305</v>
      </c>
      <c r="E96" s="40">
        <f>F96+I96</f>
        <v>269900</v>
      </c>
      <c r="F96" s="40">
        <f>199900+70000</f>
        <v>269900</v>
      </c>
      <c r="G96" s="40"/>
      <c r="H96" s="40"/>
      <c r="I96" s="46"/>
      <c r="J96" s="40">
        <f>K96+N96</f>
        <v>0</v>
      </c>
      <c r="K96" s="40"/>
      <c r="L96" s="40"/>
      <c r="M96" s="40"/>
      <c r="N96" s="40">
        <f>O96</f>
        <v>0</v>
      </c>
      <c r="O96" s="40"/>
      <c r="P96" s="30">
        <f t="shared" si="12"/>
        <v>269900</v>
      </c>
      <c r="Q96" s="43"/>
      <c r="R96" s="35">
        <f t="shared" si="16"/>
        <v>269900</v>
      </c>
      <c r="S96" s="43"/>
      <c r="T96" s="51"/>
      <c r="U96" s="7">
        <f t="shared" si="13"/>
        <v>269900</v>
      </c>
      <c r="V96" s="44"/>
      <c r="X96" s="44"/>
      <c r="Y96" s="133"/>
      <c r="Z96" s="141"/>
    </row>
    <row r="97" spans="1:27" s="45" customFormat="1" ht="25.5" x14ac:dyDescent="0.2">
      <c r="A97" s="2">
        <v>1115030</v>
      </c>
      <c r="B97" s="6" t="s">
        <v>125</v>
      </c>
      <c r="C97" s="6"/>
      <c r="D97" s="27" t="s">
        <v>124</v>
      </c>
      <c r="E97" s="21">
        <f t="shared" si="14"/>
        <v>10636420</v>
      </c>
      <c r="F97" s="21">
        <f>F98+F99+F100</f>
        <v>10636420</v>
      </c>
      <c r="G97" s="21">
        <f>G98+G99+G100</f>
        <v>5586000</v>
      </c>
      <c r="H97" s="21">
        <f>H98+H99+H100</f>
        <v>118400</v>
      </c>
      <c r="I97" s="21">
        <f>I98+I99+I100</f>
        <v>0</v>
      </c>
      <c r="J97" s="21">
        <f t="shared" si="15"/>
        <v>635353</v>
      </c>
      <c r="K97" s="21">
        <f>K98+K99+K100</f>
        <v>0</v>
      </c>
      <c r="L97" s="21">
        <f>L98+L99+L100</f>
        <v>0</v>
      </c>
      <c r="M97" s="21">
        <f>M98+M99+M100</f>
        <v>0</v>
      </c>
      <c r="N97" s="21">
        <f>N98+N99+N100</f>
        <v>635353</v>
      </c>
      <c r="O97" s="21">
        <f>O98+O99+O100</f>
        <v>635353</v>
      </c>
      <c r="P97" s="30">
        <f t="shared" si="12"/>
        <v>11271773</v>
      </c>
      <c r="Q97" s="43"/>
      <c r="R97" s="35">
        <f t="shared" si="16"/>
        <v>11271773</v>
      </c>
      <c r="S97" s="43"/>
      <c r="T97" s="51"/>
      <c r="U97" s="7">
        <f t="shared" si="13"/>
        <v>11271773</v>
      </c>
      <c r="V97" s="44"/>
      <c r="X97" s="44"/>
      <c r="Y97" s="133"/>
      <c r="Z97" s="141"/>
    </row>
    <row r="98" spans="1:27" ht="38.25" x14ac:dyDescent="0.2">
      <c r="A98" s="37">
        <v>1115031</v>
      </c>
      <c r="B98" s="38" t="s">
        <v>123</v>
      </c>
      <c r="C98" s="38" t="s">
        <v>47</v>
      </c>
      <c r="D98" s="39" t="s">
        <v>122</v>
      </c>
      <c r="E98" s="40">
        <f>F98+I98</f>
        <v>4067640</v>
      </c>
      <c r="F98" s="40">
        <v>4067640</v>
      </c>
      <c r="G98" s="40">
        <v>2676600</v>
      </c>
      <c r="H98" s="40">
        <v>41170</v>
      </c>
      <c r="I98" s="46"/>
      <c r="J98" s="40">
        <f>K98+N98</f>
        <v>81150</v>
      </c>
      <c r="K98" s="40"/>
      <c r="L98" s="40"/>
      <c r="M98" s="40"/>
      <c r="N98" s="40">
        <f>O98</f>
        <v>81150</v>
      </c>
      <c r="O98" s="40">
        <v>81150</v>
      </c>
      <c r="P98" s="30">
        <f t="shared" si="12"/>
        <v>4148790</v>
      </c>
      <c r="Q98" s="35"/>
      <c r="R98" s="35">
        <f t="shared" si="16"/>
        <v>4148790</v>
      </c>
      <c r="S98" s="35"/>
      <c r="T98" s="4"/>
      <c r="U98" s="7">
        <f t="shared" si="13"/>
        <v>4148790</v>
      </c>
      <c r="V98" s="7"/>
      <c r="X98" s="7"/>
    </row>
    <row r="99" spans="1:27" ht="38.25" x14ac:dyDescent="0.2">
      <c r="A99" s="37">
        <v>1115032</v>
      </c>
      <c r="B99" s="38" t="s">
        <v>127</v>
      </c>
      <c r="C99" s="38" t="s">
        <v>47</v>
      </c>
      <c r="D99" s="39" t="s">
        <v>126</v>
      </c>
      <c r="E99" s="40">
        <f>F99+I99</f>
        <v>2127250</v>
      </c>
      <c r="F99" s="40">
        <v>2127250</v>
      </c>
      <c r="G99" s="40"/>
      <c r="H99" s="40"/>
      <c r="I99" s="46"/>
      <c r="J99" s="40">
        <f>K99+N99</f>
        <v>0</v>
      </c>
      <c r="K99" s="40"/>
      <c r="L99" s="40"/>
      <c r="M99" s="40"/>
      <c r="N99" s="40">
        <f>O99</f>
        <v>0</v>
      </c>
      <c r="O99" s="40"/>
      <c r="P99" s="30">
        <f t="shared" si="12"/>
        <v>2127250</v>
      </c>
      <c r="Q99" s="35"/>
      <c r="R99" s="35">
        <f t="shared" si="16"/>
        <v>2127250</v>
      </c>
      <c r="S99" s="35"/>
      <c r="T99" s="4"/>
      <c r="U99" s="7">
        <f t="shared" si="13"/>
        <v>2127250</v>
      </c>
      <c r="V99" s="7"/>
      <c r="X99" s="7"/>
    </row>
    <row r="100" spans="1:27" s="45" customFormat="1" ht="44.45" customHeight="1" x14ac:dyDescent="0.2">
      <c r="A100" s="37">
        <v>1115033</v>
      </c>
      <c r="B100" s="38" t="s">
        <v>100</v>
      </c>
      <c r="C100" s="38" t="s">
        <v>47</v>
      </c>
      <c r="D100" s="39" t="s">
        <v>275</v>
      </c>
      <c r="E100" s="40">
        <f>F100+I100</f>
        <v>4441530</v>
      </c>
      <c r="F100" s="40">
        <v>4441530</v>
      </c>
      <c r="G100" s="40">
        <v>2909400</v>
      </c>
      <c r="H100" s="40">
        <v>77230</v>
      </c>
      <c r="I100" s="46"/>
      <c r="J100" s="40">
        <f>K100+N100</f>
        <v>554203</v>
      </c>
      <c r="K100" s="40"/>
      <c r="L100" s="40"/>
      <c r="M100" s="40"/>
      <c r="N100" s="40">
        <f>O100</f>
        <v>554203</v>
      </c>
      <c r="O100" s="40">
        <f>137664+416539</f>
        <v>554203</v>
      </c>
      <c r="P100" s="30">
        <f t="shared" si="12"/>
        <v>4995733</v>
      </c>
      <c r="Q100" s="43"/>
      <c r="R100" s="35">
        <f t="shared" si="16"/>
        <v>4995733</v>
      </c>
      <c r="S100" s="43"/>
      <c r="T100" s="51"/>
      <c r="U100" s="7">
        <f t="shared" si="13"/>
        <v>4995733</v>
      </c>
      <c r="V100" s="44"/>
      <c r="X100" s="44"/>
      <c r="Y100" s="133"/>
      <c r="Z100" s="141"/>
    </row>
    <row r="101" spans="1:27" ht="25.5" x14ac:dyDescent="0.2">
      <c r="A101" s="2">
        <v>1115050</v>
      </c>
      <c r="B101" s="6" t="s">
        <v>136</v>
      </c>
      <c r="C101" s="6"/>
      <c r="D101" s="27" t="s">
        <v>137</v>
      </c>
      <c r="E101" s="21">
        <f>F101+I101</f>
        <v>1236200</v>
      </c>
      <c r="F101" s="21">
        <f>F102</f>
        <v>1236200</v>
      </c>
      <c r="G101" s="21">
        <f>G102</f>
        <v>0</v>
      </c>
      <c r="H101" s="21">
        <f>H102</f>
        <v>0</v>
      </c>
      <c r="I101" s="21">
        <f>I102</f>
        <v>0</v>
      </c>
      <c r="J101" s="21">
        <f>K101+N101</f>
        <v>0</v>
      </c>
      <c r="K101" s="21">
        <f>K102</f>
        <v>0</v>
      </c>
      <c r="L101" s="21">
        <f>L102</f>
        <v>0</v>
      </c>
      <c r="M101" s="21">
        <f>M102</f>
        <v>0</v>
      </c>
      <c r="N101" s="21">
        <f>N102</f>
        <v>0</v>
      </c>
      <c r="O101" s="21">
        <f>O102</f>
        <v>0</v>
      </c>
      <c r="P101" s="30">
        <f t="shared" si="12"/>
        <v>1236200</v>
      </c>
      <c r="Q101" s="35"/>
      <c r="R101" s="35">
        <f t="shared" si="16"/>
        <v>1236200</v>
      </c>
      <c r="S101" s="35"/>
      <c r="T101" s="4"/>
      <c r="U101" s="7">
        <f t="shared" si="13"/>
        <v>1236200</v>
      </c>
      <c r="V101" s="7"/>
      <c r="X101" s="7"/>
    </row>
    <row r="102" spans="1:27" s="45" customFormat="1" ht="51" x14ac:dyDescent="0.2">
      <c r="A102" s="37">
        <v>1115053</v>
      </c>
      <c r="B102" s="38" t="s">
        <v>128</v>
      </c>
      <c r="C102" s="38" t="s">
        <v>47</v>
      </c>
      <c r="D102" s="39" t="s">
        <v>129</v>
      </c>
      <c r="E102" s="40">
        <f t="shared" si="14"/>
        <v>1236200</v>
      </c>
      <c r="F102" s="40">
        <f>1036200+50000+150000</f>
        <v>1236200</v>
      </c>
      <c r="G102" s="40"/>
      <c r="H102" s="40"/>
      <c r="I102" s="46"/>
      <c r="J102" s="40">
        <f t="shared" si="15"/>
        <v>0</v>
      </c>
      <c r="K102" s="40"/>
      <c r="L102" s="40"/>
      <c r="M102" s="40"/>
      <c r="N102" s="40">
        <f>O102</f>
        <v>0</v>
      </c>
      <c r="O102" s="40"/>
      <c r="P102" s="30">
        <f t="shared" si="12"/>
        <v>1236200</v>
      </c>
      <c r="Q102" s="43"/>
      <c r="R102" s="35">
        <f t="shared" si="16"/>
        <v>1236200</v>
      </c>
      <c r="S102" s="43"/>
      <c r="T102" s="51"/>
      <c r="U102" s="7">
        <f t="shared" si="13"/>
        <v>1236200</v>
      </c>
      <c r="V102" s="44"/>
      <c r="X102" s="44"/>
      <c r="Y102" s="133"/>
      <c r="Z102" s="141"/>
    </row>
    <row r="103" spans="1:27" ht="31.9" customHeight="1" x14ac:dyDescent="0.2">
      <c r="A103" s="2">
        <v>1115060</v>
      </c>
      <c r="B103" s="6" t="s">
        <v>99</v>
      </c>
      <c r="C103" s="6"/>
      <c r="D103" s="27" t="s">
        <v>130</v>
      </c>
      <c r="E103" s="21">
        <f t="shared" si="14"/>
        <v>2241770</v>
      </c>
      <c r="F103" s="21">
        <f>F104+F105</f>
        <v>2241770</v>
      </c>
      <c r="G103" s="21">
        <f t="shared" ref="G103:O103" si="17">G104+G105</f>
        <v>466000</v>
      </c>
      <c r="H103" s="21">
        <f t="shared" si="17"/>
        <v>19210</v>
      </c>
      <c r="I103" s="21">
        <f t="shared" si="17"/>
        <v>0</v>
      </c>
      <c r="J103" s="21">
        <f t="shared" si="15"/>
        <v>0</v>
      </c>
      <c r="K103" s="21">
        <f t="shared" si="17"/>
        <v>0</v>
      </c>
      <c r="L103" s="21">
        <f t="shared" si="17"/>
        <v>0</v>
      </c>
      <c r="M103" s="21">
        <f t="shared" si="17"/>
        <v>0</v>
      </c>
      <c r="N103" s="21">
        <f t="shared" si="17"/>
        <v>0</v>
      </c>
      <c r="O103" s="21">
        <f t="shared" si="17"/>
        <v>0</v>
      </c>
      <c r="P103" s="30">
        <f t="shared" si="12"/>
        <v>2241770</v>
      </c>
      <c r="Q103" s="35"/>
      <c r="R103" s="35">
        <f t="shared" si="16"/>
        <v>2241770</v>
      </c>
      <c r="S103" s="35"/>
      <c r="T103" s="4"/>
      <c r="U103" s="7">
        <f t="shared" si="13"/>
        <v>2241770</v>
      </c>
      <c r="V103" s="7"/>
      <c r="X103" s="7"/>
    </row>
    <row r="104" spans="1:27" s="45" customFormat="1" ht="72.599999999999994" customHeight="1" x14ac:dyDescent="0.2">
      <c r="A104" s="37">
        <v>1115061</v>
      </c>
      <c r="B104" s="38" t="s">
        <v>132</v>
      </c>
      <c r="C104" s="38" t="s">
        <v>47</v>
      </c>
      <c r="D104" s="39" t="s">
        <v>131</v>
      </c>
      <c r="E104" s="40">
        <f>F104+I104</f>
        <v>809510</v>
      </c>
      <c r="F104" s="40">
        <v>809510</v>
      </c>
      <c r="G104" s="40">
        <v>466000</v>
      </c>
      <c r="H104" s="40">
        <v>19210</v>
      </c>
      <c r="I104" s="46"/>
      <c r="J104" s="40">
        <f>K104+N104</f>
        <v>0</v>
      </c>
      <c r="K104" s="40"/>
      <c r="L104" s="40"/>
      <c r="M104" s="40"/>
      <c r="N104" s="40">
        <f>O104</f>
        <v>0</v>
      </c>
      <c r="O104" s="40"/>
      <c r="P104" s="30">
        <f t="shared" si="12"/>
        <v>809510</v>
      </c>
      <c r="Q104" s="43"/>
      <c r="R104" s="35">
        <f t="shared" si="16"/>
        <v>809510</v>
      </c>
      <c r="S104" s="43"/>
      <c r="T104" s="51"/>
      <c r="U104" s="7">
        <f t="shared" si="13"/>
        <v>809510</v>
      </c>
      <c r="V104" s="44"/>
      <c r="X104" s="44"/>
      <c r="Y104" s="133"/>
      <c r="Z104" s="141"/>
    </row>
    <row r="105" spans="1:27" s="50" customFormat="1" ht="55.15" customHeight="1" x14ac:dyDescent="0.2">
      <c r="A105" s="37">
        <v>1115062</v>
      </c>
      <c r="B105" s="38" t="s">
        <v>134</v>
      </c>
      <c r="C105" s="38" t="s">
        <v>47</v>
      </c>
      <c r="D105" s="39" t="s">
        <v>133</v>
      </c>
      <c r="E105" s="40">
        <f>F105+I105</f>
        <v>1432260</v>
      </c>
      <c r="F105" s="40">
        <v>1432260</v>
      </c>
      <c r="G105" s="40"/>
      <c r="H105" s="40"/>
      <c r="I105" s="46"/>
      <c r="J105" s="40">
        <f>K105+N105</f>
        <v>0</v>
      </c>
      <c r="K105" s="40"/>
      <c r="L105" s="40"/>
      <c r="M105" s="40"/>
      <c r="N105" s="40">
        <f>O105</f>
        <v>0</v>
      </c>
      <c r="O105" s="40"/>
      <c r="P105" s="30">
        <f t="shared" si="12"/>
        <v>1432260</v>
      </c>
      <c r="Q105" s="43"/>
      <c r="R105" s="35">
        <f t="shared" si="16"/>
        <v>1432260</v>
      </c>
      <c r="S105" s="43"/>
      <c r="T105" s="51"/>
      <c r="U105" s="7">
        <f t="shared" si="13"/>
        <v>1432260</v>
      </c>
      <c r="V105" s="44"/>
      <c r="X105" s="44"/>
      <c r="Y105" s="134"/>
      <c r="Z105" s="142"/>
    </row>
    <row r="106" spans="1:27" s="8" customFormat="1" ht="25.5" x14ac:dyDescent="0.2">
      <c r="A106" s="3" t="s">
        <v>229</v>
      </c>
      <c r="B106" s="3"/>
      <c r="C106" s="3"/>
      <c r="D106" s="29" t="s">
        <v>60</v>
      </c>
      <c r="E106" s="30">
        <f t="shared" si="14"/>
        <v>7900351</v>
      </c>
      <c r="F106" s="30">
        <f>F107</f>
        <v>7900351</v>
      </c>
      <c r="G106" s="30">
        <f>G107</f>
        <v>3324434</v>
      </c>
      <c r="H106" s="30">
        <f>H107</f>
        <v>617600</v>
      </c>
      <c r="I106" s="30">
        <f>I107</f>
        <v>0</v>
      </c>
      <c r="J106" s="30">
        <f t="shared" si="15"/>
        <v>40000</v>
      </c>
      <c r="K106" s="30">
        <f>K107</f>
        <v>40000</v>
      </c>
      <c r="L106" s="30">
        <f>L107</f>
        <v>0</v>
      </c>
      <c r="M106" s="30">
        <f>M107</f>
        <v>0</v>
      </c>
      <c r="N106" s="30">
        <f>N107</f>
        <v>0</v>
      </c>
      <c r="O106" s="30">
        <f>O107</f>
        <v>0</v>
      </c>
      <c r="P106" s="30">
        <f t="shared" si="12"/>
        <v>7940351</v>
      </c>
      <c r="Q106" s="35">
        <v>6132800</v>
      </c>
      <c r="R106" s="35">
        <f t="shared" si="16"/>
        <v>1807551</v>
      </c>
      <c r="S106" s="35"/>
      <c r="T106" s="4">
        <v>6132800</v>
      </c>
      <c r="U106" s="7">
        <f t="shared" si="13"/>
        <v>1807551</v>
      </c>
      <c r="V106" s="7"/>
      <c r="X106" s="7"/>
      <c r="Y106" s="132">
        <v>7940351</v>
      </c>
      <c r="Z106" s="140">
        <f>P106-Y106</f>
        <v>0</v>
      </c>
    </row>
    <row r="107" spans="1:27" ht="25.5" x14ac:dyDescent="0.2">
      <c r="A107" s="3" t="s">
        <v>230</v>
      </c>
      <c r="B107" s="3"/>
      <c r="C107" s="3"/>
      <c r="D107" s="29" t="s">
        <v>57</v>
      </c>
      <c r="E107" s="30">
        <f t="shared" si="14"/>
        <v>7900351</v>
      </c>
      <c r="F107" s="30">
        <f>SUM(F109:F110)</f>
        <v>7900351</v>
      </c>
      <c r="G107" s="30">
        <f>SUM(G109:G110)</f>
        <v>3324434</v>
      </c>
      <c r="H107" s="30">
        <f>SUM(H109:H110)</f>
        <v>617600</v>
      </c>
      <c r="I107" s="30">
        <f>SUM(I109:I110)</f>
        <v>0</v>
      </c>
      <c r="J107" s="30">
        <f t="shared" si="15"/>
        <v>40000</v>
      </c>
      <c r="K107" s="30">
        <f>SUM(K109:K110)</f>
        <v>40000</v>
      </c>
      <c r="L107" s="30">
        <f>SUM(L109:L110)</f>
        <v>0</v>
      </c>
      <c r="M107" s="30">
        <f>SUM(M109:M110)</f>
        <v>0</v>
      </c>
      <c r="N107" s="30">
        <f>SUM(N109:N110)</f>
        <v>0</v>
      </c>
      <c r="O107" s="30">
        <f>SUM(O109:O110)</f>
        <v>0</v>
      </c>
      <c r="P107" s="30">
        <f t="shared" si="12"/>
        <v>7940351</v>
      </c>
      <c r="Q107" s="47"/>
      <c r="R107" s="35">
        <f t="shared" si="16"/>
        <v>7940351</v>
      </c>
      <c r="S107" s="47"/>
      <c r="T107" s="4"/>
      <c r="U107" s="7">
        <f t="shared" si="13"/>
        <v>7940351</v>
      </c>
      <c r="V107" s="4"/>
      <c r="X107" s="4"/>
    </row>
    <row r="108" spans="1:27" s="45" customFormat="1" ht="25.5" x14ac:dyDescent="0.2">
      <c r="A108" s="6" t="s">
        <v>231</v>
      </c>
      <c r="B108" s="6" t="s">
        <v>113</v>
      </c>
      <c r="C108" s="6"/>
      <c r="D108" s="27" t="s">
        <v>114</v>
      </c>
      <c r="E108" s="21">
        <f t="shared" si="14"/>
        <v>7900351</v>
      </c>
      <c r="F108" s="21">
        <f>F109+F110</f>
        <v>7900351</v>
      </c>
      <c r="G108" s="21">
        <f>G109+G110</f>
        <v>3324434</v>
      </c>
      <c r="H108" s="21">
        <f>H109+H110</f>
        <v>617600</v>
      </c>
      <c r="I108" s="21">
        <f>I109+I110</f>
        <v>0</v>
      </c>
      <c r="J108" s="21">
        <f t="shared" si="15"/>
        <v>40000</v>
      </c>
      <c r="K108" s="21">
        <f>K109+K110</f>
        <v>40000</v>
      </c>
      <c r="L108" s="21">
        <f>L109+L110</f>
        <v>0</v>
      </c>
      <c r="M108" s="21">
        <f>M109+M110</f>
        <v>0</v>
      </c>
      <c r="N108" s="21">
        <f>N109+N110</f>
        <v>0</v>
      </c>
      <c r="O108" s="21">
        <f>O109+O110</f>
        <v>0</v>
      </c>
      <c r="P108" s="30">
        <f t="shared" si="12"/>
        <v>7940351</v>
      </c>
      <c r="Q108" s="43"/>
      <c r="R108" s="35">
        <f t="shared" si="16"/>
        <v>7940351</v>
      </c>
      <c r="S108" s="43"/>
      <c r="T108" s="51"/>
      <c r="U108" s="7">
        <f t="shared" si="13"/>
        <v>7940351</v>
      </c>
      <c r="V108" s="44"/>
      <c r="X108" s="44"/>
      <c r="Y108" s="133"/>
      <c r="Z108" s="141"/>
    </row>
    <row r="109" spans="1:27" s="45" customFormat="1" ht="46.9" customHeight="1" x14ac:dyDescent="0.2">
      <c r="A109" s="38" t="s">
        <v>232</v>
      </c>
      <c r="B109" s="38" t="s">
        <v>93</v>
      </c>
      <c r="C109" s="38" t="s">
        <v>28</v>
      </c>
      <c r="D109" s="39" t="s">
        <v>19</v>
      </c>
      <c r="E109" s="40">
        <f t="shared" si="14"/>
        <v>7316651</v>
      </c>
      <c r="F109" s="41">
        <f>7016738-23+20660+279276</f>
        <v>7316651</v>
      </c>
      <c r="G109" s="41">
        <f>3307500+16934</f>
        <v>3324434</v>
      </c>
      <c r="H109" s="41">
        <v>617600</v>
      </c>
      <c r="I109" s="42"/>
      <c r="J109" s="40">
        <f t="shared" si="15"/>
        <v>40000</v>
      </c>
      <c r="K109" s="41">
        <v>40000</v>
      </c>
      <c r="L109" s="41"/>
      <c r="M109" s="41"/>
      <c r="N109" s="41">
        <f>O109</f>
        <v>0</v>
      </c>
      <c r="O109" s="40"/>
      <c r="P109" s="30">
        <f t="shared" si="12"/>
        <v>7356651</v>
      </c>
      <c r="Q109" s="43"/>
      <c r="R109" s="35">
        <f t="shared" si="16"/>
        <v>7356651</v>
      </c>
      <c r="S109" s="43"/>
      <c r="T109" s="51"/>
      <c r="U109" s="7">
        <f t="shared" si="13"/>
        <v>7356651</v>
      </c>
      <c r="V109" s="44"/>
      <c r="X109" s="44"/>
      <c r="Y109" s="133"/>
      <c r="Z109" s="141"/>
    </row>
    <row r="110" spans="1:27" s="8" customFormat="1" ht="31.9" customHeight="1" x14ac:dyDescent="0.2">
      <c r="A110" s="38" t="s">
        <v>233</v>
      </c>
      <c r="B110" s="38" t="s">
        <v>96</v>
      </c>
      <c r="C110" s="38" t="s">
        <v>28</v>
      </c>
      <c r="D110" s="39" t="s">
        <v>18</v>
      </c>
      <c r="E110" s="40">
        <f t="shared" si="14"/>
        <v>583700</v>
      </c>
      <c r="F110" s="41">
        <v>583700</v>
      </c>
      <c r="G110" s="41"/>
      <c r="H110" s="41"/>
      <c r="I110" s="42"/>
      <c r="J110" s="40">
        <f t="shared" si="15"/>
        <v>0</v>
      </c>
      <c r="K110" s="41"/>
      <c r="L110" s="41"/>
      <c r="M110" s="41"/>
      <c r="N110" s="41">
        <f>O110</f>
        <v>0</v>
      </c>
      <c r="O110" s="48"/>
      <c r="P110" s="30">
        <f t="shared" si="12"/>
        <v>583700</v>
      </c>
      <c r="Q110" s="35"/>
      <c r="R110" s="35">
        <f t="shared" si="16"/>
        <v>583700</v>
      </c>
      <c r="S110" s="35"/>
      <c r="T110" s="4"/>
      <c r="U110" s="7">
        <f t="shared" si="13"/>
        <v>583700</v>
      </c>
      <c r="V110" s="7"/>
      <c r="X110" s="7"/>
      <c r="Y110" s="132"/>
      <c r="Z110" s="140"/>
    </row>
    <row r="111" spans="1:27" s="8" customFormat="1" ht="38.25" x14ac:dyDescent="0.2">
      <c r="A111" s="3" t="s">
        <v>189</v>
      </c>
      <c r="B111" s="19"/>
      <c r="C111" s="19"/>
      <c r="D111" s="9" t="s">
        <v>82</v>
      </c>
      <c r="E111" s="30">
        <f t="shared" si="14"/>
        <v>121006163</v>
      </c>
      <c r="F111" s="30">
        <f>F112</f>
        <v>121006163</v>
      </c>
      <c r="G111" s="30">
        <f>G112</f>
        <v>23749755</v>
      </c>
      <c r="H111" s="30">
        <f>H112</f>
        <v>2435022</v>
      </c>
      <c r="I111" s="30">
        <f>I112</f>
        <v>0</v>
      </c>
      <c r="J111" s="30">
        <f t="shared" si="15"/>
        <v>23882530</v>
      </c>
      <c r="K111" s="30">
        <f>K112</f>
        <v>2938200</v>
      </c>
      <c r="L111" s="30">
        <f>L112</f>
        <v>735130</v>
      </c>
      <c r="M111" s="30">
        <f>M112</f>
        <v>155840</v>
      </c>
      <c r="N111" s="30">
        <f>N112</f>
        <v>20944330</v>
      </c>
      <c r="O111" s="30">
        <f>O112</f>
        <v>20845430</v>
      </c>
      <c r="P111" s="30">
        <f t="shared" si="12"/>
        <v>144888693</v>
      </c>
      <c r="Q111" s="35">
        <v>108766180</v>
      </c>
      <c r="R111" s="35">
        <f t="shared" si="16"/>
        <v>36122513</v>
      </c>
      <c r="S111" s="35"/>
      <c r="T111" s="4">
        <v>117238468</v>
      </c>
      <c r="U111" s="7">
        <f t="shared" si="13"/>
        <v>27650225</v>
      </c>
      <c r="V111" s="7"/>
      <c r="X111" s="7"/>
      <c r="Y111" s="132">
        <v>144629513</v>
      </c>
      <c r="Z111" s="140">
        <f>P111-Y111</f>
        <v>259180</v>
      </c>
      <c r="AA111" s="8" t="s">
        <v>433</v>
      </c>
    </row>
    <row r="112" spans="1:27" ht="38.25" x14ac:dyDescent="0.2">
      <c r="A112" s="3" t="s">
        <v>190</v>
      </c>
      <c r="B112" s="19"/>
      <c r="C112" s="19"/>
      <c r="D112" s="9" t="s">
        <v>83</v>
      </c>
      <c r="E112" s="30">
        <f t="shared" si="14"/>
        <v>121006163</v>
      </c>
      <c r="F112" s="30">
        <f>SUM(F113:F119)+F122+F124+F125</f>
        <v>121006163</v>
      </c>
      <c r="G112" s="30">
        <f>SUM(G113:G119)+G122+G124+G125</f>
        <v>23749755</v>
      </c>
      <c r="H112" s="30">
        <f>SUM(H113:H119)+H122+H124+H125</f>
        <v>2435022</v>
      </c>
      <c r="I112" s="30">
        <f>SUM(I113:I119)+I122+I124+I125</f>
        <v>0</v>
      </c>
      <c r="J112" s="30">
        <f t="shared" si="15"/>
        <v>23882530</v>
      </c>
      <c r="K112" s="30">
        <f>SUM(K113:K119)+K122+K124+K125</f>
        <v>2938200</v>
      </c>
      <c r="L112" s="30">
        <f>SUM(L113:L119)+L122+L124+L125</f>
        <v>735130</v>
      </c>
      <c r="M112" s="30">
        <f>SUM(M113:M119)+M122+M124+M125</f>
        <v>155840</v>
      </c>
      <c r="N112" s="30">
        <f>SUM(N113:N119)+N122+N124+N125</f>
        <v>20944330</v>
      </c>
      <c r="O112" s="30">
        <f>SUM(O113:O119)+O122+O124+O125</f>
        <v>20845430</v>
      </c>
      <c r="P112" s="30">
        <f t="shared" si="12"/>
        <v>144888693</v>
      </c>
      <c r="Q112" s="35"/>
      <c r="R112" s="35">
        <f t="shared" si="16"/>
        <v>144888693</v>
      </c>
      <c r="S112" s="35"/>
      <c r="T112" s="4"/>
      <c r="U112" s="7">
        <f t="shared" si="13"/>
        <v>144888693</v>
      </c>
      <c r="V112" s="7"/>
      <c r="X112" s="7"/>
    </row>
    <row r="113" spans="1:26" ht="46.15" customHeight="1" x14ac:dyDescent="0.2">
      <c r="A113" s="2">
        <v>1011120</v>
      </c>
      <c r="B113" s="6" t="s">
        <v>63</v>
      </c>
      <c r="C113" s="6" t="s">
        <v>64</v>
      </c>
      <c r="D113" s="27" t="s">
        <v>198</v>
      </c>
      <c r="E113" s="21">
        <f t="shared" si="14"/>
        <v>39102748</v>
      </c>
      <c r="F113" s="32">
        <v>39102748</v>
      </c>
      <c r="G113" s="32"/>
      <c r="H113" s="32"/>
      <c r="I113" s="14"/>
      <c r="J113" s="21">
        <f t="shared" si="15"/>
        <v>1482300</v>
      </c>
      <c r="K113" s="32">
        <v>1482300</v>
      </c>
      <c r="L113" s="32"/>
      <c r="M113" s="32"/>
      <c r="N113" s="32">
        <f t="shared" ref="N113:N121" si="18">O113</f>
        <v>0</v>
      </c>
      <c r="O113" s="32"/>
      <c r="P113" s="30">
        <f t="shared" si="12"/>
        <v>40585048</v>
      </c>
      <c r="Q113" s="35"/>
      <c r="R113" s="35">
        <f t="shared" si="16"/>
        <v>40585048</v>
      </c>
      <c r="S113" s="35"/>
      <c r="T113" s="4"/>
      <c r="U113" s="7">
        <f t="shared" si="13"/>
        <v>40585048</v>
      </c>
      <c r="V113" s="7"/>
      <c r="X113" s="7"/>
    </row>
    <row r="114" spans="1:26" x14ac:dyDescent="0.2">
      <c r="A114" s="2">
        <v>1014010</v>
      </c>
      <c r="B114" s="6" t="s">
        <v>185</v>
      </c>
      <c r="C114" s="6" t="s">
        <v>85</v>
      </c>
      <c r="D114" s="27" t="s">
        <v>184</v>
      </c>
      <c r="E114" s="21">
        <f t="shared" si="14"/>
        <v>22790056</v>
      </c>
      <c r="F114" s="32">
        <v>22790056</v>
      </c>
      <c r="G114" s="32"/>
      <c r="H114" s="21"/>
      <c r="I114" s="13"/>
      <c r="J114" s="21">
        <f t="shared" si="15"/>
        <v>460000</v>
      </c>
      <c r="K114" s="32"/>
      <c r="L114" s="32"/>
      <c r="M114" s="21"/>
      <c r="N114" s="32">
        <f t="shared" si="18"/>
        <v>460000</v>
      </c>
      <c r="O114" s="32">
        <v>460000</v>
      </c>
      <c r="P114" s="30">
        <f t="shared" si="12"/>
        <v>23250056</v>
      </c>
      <c r="Q114" s="35"/>
      <c r="R114" s="35">
        <f t="shared" si="16"/>
        <v>23250056</v>
      </c>
      <c r="S114" s="35"/>
      <c r="T114" s="4"/>
      <c r="U114" s="7">
        <f t="shared" si="13"/>
        <v>23250056</v>
      </c>
      <c r="V114" s="7"/>
      <c r="X114" s="7"/>
    </row>
    <row r="115" spans="1:26" ht="51" x14ac:dyDescent="0.2">
      <c r="A115" s="2">
        <v>1014020</v>
      </c>
      <c r="B115" s="6" t="s">
        <v>84</v>
      </c>
      <c r="C115" s="6" t="s">
        <v>86</v>
      </c>
      <c r="D115" s="27" t="s">
        <v>186</v>
      </c>
      <c r="E115" s="21">
        <f t="shared" si="14"/>
        <v>24841778</v>
      </c>
      <c r="F115" s="32">
        <v>24841778</v>
      </c>
      <c r="G115" s="32"/>
      <c r="H115" s="21"/>
      <c r="I115" s="13"/>
      <c r="J115" s="21">
        <f t="shared" ref="J115:J200" si="19">K115+N115</f>
        <v>737180</v>
      </c>
      <c r="K115" s="32"/>
      <c r="L115" s="32"/>
      <c r="M115" s="21"/>
      <c r="N115" s="32">
        <f t="shared" si="18"/>
        <v>737180</v>
      </c>
      <c r="O115" s="32">
        <f>737180</f>
        <v>737180</v>
      </c>
      <c r="P115" s="30">
        <f t="shared" si="12"/>
        <v>25578958</v>
      </c>
      <c r="Q115" s="35"/>
      <c r="R115" s="35">
        <f t="shared" si="16"/>
        <v>25578958</v>
      </c>
      <c r="S115" s="35"/>
      <c r="T115" s="4"/>
      <c r="U115" s="7">
        <f t="shared" si="13"/>
        <v>25578958</v>
      </c>
      <c r="V115" s="7"/>
      <c r="X115" s="7"/>
    </row>
    <row r="116" spans="1:26" x14ac:dyDescent="0.2">
      <c r="A116" s="2">
        <v>1014030</v>
      </c>
      <c r="B116" s="6" t="s">
        <v>265</v>
      </c>
      <c r="C116" s="6" t="s">
        <v>80</v>
      </c>
      <c r="D116" s="27" t="s">
        <v>187</v>
      </c>
      <c r="E116" s="21">
        <f t="shared" si="14"/>
        <v>16417882</v>
      </c>
      <c r="F116" s="32">
        <f>16393552+24330</f>
        <v>16417882</v>
      </c>
      <c r="G116" s="32">
        <v>12279177</v>
      </c>
      <c r="H116" s="32">
        <v>1035922</v>
      </c>
      <c r="I116" s="14"/>
      <c r="J116" s="21">
        <f t="shared" si="19"/>
        <v>835400</v>
      </c>
      <c r="K116" s="32">
        <v>168500</v>
      </c>
      <c r="L116" s="32">
        <v>66400</v>
      </c>
      <c r="M116" s="32">
        <v>10690</v>
      </c>
      <c r="N116" s="32">
        <f>O116+56900</f>
        <v>666900</v>
      </c>
      <c r="O116" s="21">
        <f>300000+150000+160000</f>
        <v>610000</v>
      </c>
      <c r="P116" s="30">
        <f t="shared" si="12"/>
        <v>17253282</v>
      </c>
      <c r="Q116" s="35"/>
      <c r="R116" s="35">
        <f t="shared" si="16"/>
        <v>17253282</v>
      </c>
      <c r="S116" s="35"/>
      <c r="T116" s="4"/>
      <c r="U116" s="7">
        <f t="shared" si="13"/>
        <v>17253282</v>
      </c>
      <c r="V116" s="7"/>
      <c r="X116" s="7"/>
    </row>
    <row r="117" spans="1:26" x14ac:dyDescent="0.2">
      <c r="A117" s="2">
        <v>1014040</v>
      </c>
      <c r="B117" s="6" t="s">
        <v>291</v>
      </c>
      <c r="C117" s="6" t="s">
        <v>80</v>
      </c>
      <c r="D117" s="27" t="s">
        <v>188</v>
      </c>
      <c r="E117" s="21">
        <f t="shared" si="14"/>
        <v>8872222</v>
      </c>
      <c r="F117" s="32">
        <v>8872222</v>
      </c>
      <c r="G117" s="32">
        <v>6118820</v>
      </c>
      <c r="H117" s="32">
        <v>881754</v>
      </c>
      <c r="I117" s="14"/>
      <c r="J117" s="21">
        <f t="shared" si="19"/>
        <v>566850</v>
      </c>
      <c r="K117" s="32">
        <v>216000</v>
      </c>
      <c r="L117" s="32">
        <v>32000</v>
      </c>
      <c r="M117" s="32">
        <v>9200</v>
      </c>
      <c r="N117" s="32">
        <f>O117+32000</f>
        <v>350850</v>
      </c>
      <c r="O117" s="21">
        <f>240000+50000+15000+13850</f>
        <v>318850</v>
      </c>
      <c r="P117" s="30">
        <f t="shared" si="12"/>
        <v>9439072</v>
      </c>
      <c r="Q117" s="35"/>
      <c r="R117" s="35">
        <f t="shared" si="16"/>
        <v>9439072</v>
      </c>
      <c r="S117" s="35"/>
      <c r="T117" s="4"/>
      <c r="U117" s="7">
        <f t="shared" si="13"/>
        <v>9439072</v>
      </c>
      <c r="V117" s="7"/>
      <c r="X117" s="7"/>
    </row>
    <row r="118" spans="1:26" x14ac:dyDescent="0.2">
      <c r="A118" s="2">
        <v>1014050</v>
      </c>
      <c r="B118" s="6" t="s">
        <v>192</v>
      </c>
      <c r="C118" s="6" t="s">
        <v>88</v>
      </c>
      <c r="D118" s="27" t="s">
        <v>191</v>
      </c>
      <c r="E118" s="21">
        <f t="shared" ref="E118:E124" si="20">F118+I118</f>
        <v>2978706</v>
      </c>
      <c r="F118" s="32">
        <v>2978706</v>
      </c>
      <c r="G118" s="32">
        <v>2079325</v>
      </c>
      <c r="H118" s="32">
        <v>302625</v>
      </c>
      <c r="I118" s="14"/>
      <c r="J118" s="21">
        <f t="shared" si="19"/>
        <v>1041200</v>
      </c>
      <c r="K118" s="32">
        <v>971200</v>
      </c>
      <c r="L118" s="32">
        <v>601030</v>
      </c>
      <c r="M118" s="32">
        <v>122800</v>
      </c>
      <c r="N118" s="32">
        <f>O118+10000</f>
        <v>70000</v>
      </c>
      <c r="O118" s="21">
        <f>4980000+60000-4980000</f>
        <v>60000</v>
      </c>
      <c r="P118" s="30">
        <f t="shared" si="12"/>
        <v>4019906</v>
      </c>
      <c r="Q118" s="35"/>
      <c r="R118" s="35">
        <f t="shared" si="16"/>
        <v>4019906</v>
      </c>
      <c r="S118" s="35"/>
      <c r="T118" s="4"/>
      <c r="U118" s="7">
        <f t="shared" si="13"/>
        <v>4019906</v>
      </c>
      <c r="V118" s="7"/>
      <c r="X118" s="7"/>
    </row>
    <row r="119" spans="1:26" ht="25.5" x14ac:dyDescent="0.2">
      <c r="A119" s="2">
        <v>1014080</v>
      </c>
      <c r="B119" s="6" t="s">
        <v>87</v>
      </c>
      <c r="C119" s="6"/>
      <c r="D119" s="27" t="s">
        <v>193</v>
      </c>
      <c r="E119" s="21">
        <f t="shared" si="20"/>
        <v>6002771</v>
      </c>
      <c r="F119" s="32">
        <f>F120+F121</f>
        <v>6002771</v>
      </c>
      <c r="G119" s="32">
        <f>G120+G121</f>
        <v>3272433</v>
      </c>
      <c r="H119" s="32">
        <f>H120+H121</f>
        <v>214721</v>
      </c>
      <c r="I119" s="32">
        <f>I120+I121</f>
        <v>0</v>
      </c>
      <c r="J119" s="21">
        <f t="shared" si="19"/>
        <v>573600</v>
      </c>
      <c r="K119" s="21">
        <f>K120+K121</f>
        <v>100200</v>
      </c>
      <c r="L119" s="21">
        <f>L120+L121</f>
        <v>35700</v>
      </c>
      <c r="M119" s="21">
        <f>M120+M121</f>
        <v>13150</v>
      </c>
      <c r="N119" s="21">
        <f>N120+N121</f>
        <v>473400</v>
      </c>
      <c r="O119" s="21">
        <f>O120+O121</f>
        <v>473400</v>
      </c>
      <c r="P119" s="30">
        <f t="shared" si="12"/>
        <v>6576371</v>
      </c>
      <c r="Q119" s="35"/>
      <c r="R119" s="35">
        <f t="shared" si="16"/>
        <v>6576371</v>
      </c>
      <c r="S119" s="35"/>
      <c r="T119" s="4"/>
      <c r="U119" s="7">
        <f t="shared" si="13"/>
        <v>6576371</v>
      </c>
      <c r="V119" s="7"/>
      <c r="X119" s="7"/>
    </row>
    <row r="120" spans="1:26" s="45" customFormat="1" ht="31.15" customHeight="1" x14ac:dyDescent="0.2">
      <c r="A120" s="37">
        <v>1014081</v>
      </c>
      <c r="B120" s="73" t="s">
        <v>195</v>
      </c>
      <c r="C120" s="38" t="s">
        <v>89</v>
      </c>
      <c r="D120" s="39" t="s">
        <v>194</v>
      </c>
      <c r="E120" s="21">
        <f t="shared" si="20"/>
        <v>4818471</v>
      </c>
      <c r="F120" s="41">
        <f>4673471+145000</f>
        <v>4818471</v>
      </c>
      <c r="G120" s="41">
        <v>3272433</v>
      </c>
      <c r="H120" s="41">
        <v>214721</v>
      </c>
      <c r="I120" s="41"/>
      <c r="J120" s="21">
        <f t="shared" si="19"/>
        <v>573600</v>
      </c>
      <c r="K120" s="40">
        <v>100200</v>
      </c>
      <c r="L120" s="41">
        <v>35700</v>
      </c>
      <c r="M120" s="41">
        <v>13150</v>
      </c>
      <c r="N120" s="32">
        <f t="shared" si="18"/>
        <v>473400</v>
      </c>
      <c r="O120" s="41">
        <v>473400</v>
      </c>
      <c r="P120" s="30">
        <f t="shared" si="12"/>
        <v>5392071</v>
      </c>
      <c r="Q120" s="43"/>
      <c r="R120" s="43"/>
      <c r="S120" s="43"/>
      <c r="T120" s="51"/>
      <c r="U120" s="44"/>
      <c r="V120" s="44"/>
      <c r="X120" s="44"/>
      <c r="Y120" s="133"/>
      <c r="Z120" s="141"/>
    </row>
    <row r="121" spans="1:26" s="45" customFormat="1" ht="31.15" customHeight="1" x14ac:dyDescent="0.2">
      <c r="A121" s="37">
        <v>1014082</v>
      </c>
      <c r="B121" s="73" t="s">
        <v>197</v>
      </c>
      <c r="C121" s="38" t="s">
        <v>89</v>
      </c>
      <c r="D121" s="74" t="s">
        <v>196</v>
      </c>
      <c r="E121" s="40">
        <f t="shared" si="20"/>
        <v>1184300</v>
      </c>
      <c r="F121" s="41">
        <v>1184300</v>
      </c>
      <c r="G121" s="41"/>
      <c r="H121" s="41"/>
      <c r="I121" s="41"/>
      <c r="J121" s="40">
        <f t="shared" si="19"/>
        <v>0</v>
      </c>
      <c r="K121" s="40"/>
      <c r="L121" s="41"/>
      <c r="M121" s="41"/>
      <c r="N121" s="41">
        <f t="shared" si="18"/>
        <v>0</v>
      </c>
      <c r="O121" s="41"/>
      <c r="P121" s="30">
        <f t="shared" si="12"/>
        <v>1184300</v>
      </c>
      <c r="Q121" s="43"/>
      <c r="R121" s="43"/>
      <c r="S121" s="43"/>
      <c r="T121" s="51"/>
      <c r="U121" s="44"/>
      <c r="V121" s="44"/>
      <c r="X121" s="44"/>
      <c r="Y121" s="133"/>
      <c r="Z121" s="141"/>
    </row>
    <row r="122" spans="1:26" ht="31.15" customHeight="1" x14ac:dyDescent="0.2">
      <c r="A122" s="91">
        <v>1017320</v>
      </c>
      <c r="B122" s="99" t="s">
        <v>337</v>
      </c>
      <c r="C122" s="6"/>
      <c r="D122" s="97" t="s">
        <v>340</v>
      </c>
      <c r="E122" s="21">
        <f t="shared" si="20"/>
        <v>0</v>
      </c>
      <c r="F122" s="32">
        <f>F123</f>
        <v>0</v>
      </c>
      <c r="G122" s="32">
        <f>G123</f>
        <v>0</v>
      </c>
      <c r="H122" s="32">
        <f>H123</f>
        <v>0</v>
      </c>
      <c r="I122" s="32">
        <f>I123</f>
        <v>0</v>
      </c>
      <c r="J122" s="21">
        <f t="shared" si="19"/>
        <v>13000000</v>
      </c>
      <c r="K122" s="21">
        <f>K123</f>
        <v>0</v>
      </c>
      <c r="L122" s="21">
        <f>L123</f>
        <v>0</v>
      </c>
      <c r="M122" s="21">
        <f>M123</f>
        <v>0</v>
      </c>
      <c r="N122" s="21">
        <f>N123</f>
        <v>13000000</v>
      </c>
      <c r="O122" s="21">
        <f>O123</f>
        <v>13000000</v>
      </c>
      <c r="P122" s="30">
        <f t="shared" si="12"/>
        <v>13000000</v>
      </c>
      <c r="Q122" s="35"/>
      <c r="R122" s="35"/>
      <c r="S122" s="35"/>
      <c r="T122" s="4"/>
      <c r="U122" s="7"/>
      <c r="V122" s="7"/>
      <c r="X122" s="7"/>
    </row>
    <row r="123" spans="1:26" s="45" customFormat="1" ht="31.15" customHeight="1" x14ac:dyDescent="0.2">
      <c r="A123" s="100">
        <v>1017324</v>
      </c>
      <c r="B123" s="101" t="s">
        <v>338</v>
      </c>
      <c r="C123" s="38" t="s">
        <v>339</v>
      </c>
      <c r="D123" s="74" t="s">
        <v>341</v>
      </c>
      <c r="E123" s="40">
        <f t="shared" si="20"/>
        <v>0</v>
      </c>
      <c r="F123" s="41"/>
      <c r="G123" s="41"/>
      <c r="H123" s="41"/>
      <c r="I123" s="41"/>
      <c r="J123" s="40">
        <f t="shared" si="19"/>
        <v>13000000</v>
      </c>
      <c r="K123" s="40"/>
      <c r="L123" s="41"/>
      <c r="M123" s="41"/>
      <c r="N123" s="41">
        <f>O123</f>
        <v>13000000</v>
      </c>
      <c r="O123" s="41">
        <v>13000000</v>
      </c>
      <c r="P123" s="48">
        <f t="shared" si="12"/>
        <v>13000000</v>
      </c>
      <c r="Q123" s="43"/>
      <c r="R123" s="43"/>
      <c r="S123" s="43"/>
      <c r="T123" s="51"/>
      <c r="U123" s="44"/>
      <c r="V123" s="44"/>
      <c r="X123" s="44"/>
      <c r="Y123" s="133"/>
      <c r="Z123" s="141"/>
    </row>
    <row r="124" spans="1:26" ht="31.15" customHeight="1" x14ac:dyDescent="0.2">
      <c r="A124" s="91">
        <v>1017340</v>
      </c>
      <c r="B124" s="99" t="s">
        <v>408</v>
      </c>
      <c r="C124" s="6" t="s">
        <v>339</v>
      </c>
      <c r="D124" s="97" t="s">
        <v>409</v>
      </c>
      <c r="E124" s="21">
        <f t="shared" si="20"/>
        <v>0</v>
      </c>
      <c r="F124" s="32"/>
      <c r="G124" s="32"/>
      <c r="H124" s="32"/>
      <c r="I124" s="32"/>
      <c r="J124" s="21">
        <f t="shared" si="19"/>
        <v>4980000</v>
      </c>
      <c r="K124" s="21"/>
      <c r="L124" s="32"/>
      <c r="M124" s="32"/>
      <c r="N124" s="32">
        <f>O124</f>
        <v>4980000</v>
      </c>
      <c r="O124" s="32">
        <f>4980000</f>
        <v>4980000</v>
      </c>
      <c r="P124" s="30">
        <f t="shared" si="12"/>
        <v>4980000</v>
      </c>
      <c r="Q124" s="35"/>
      <c r="R124" s="35"/>
      <c r="S124" s="35"/>
      <c r="T124" s="4"/>
      <c r="U124" s="7"/>
      <c r="V124" s="7"/>
      <c r="X124" s="7"/>
    </row>
    <row r="125" spans="1:26" s="118" customFormat="1" ht="31.15" customHeight="1" x14ac:dyDescent="0.2">
      <c r="A125" s="91">
        <v>1017360</v>
      </c>
      <c r="B125" s="99" t="s">
        <v>329</v>
      </c>
      <c r="C125" s="6"/>
      <c r="D125" s="97" t="s">
        <v>334</v>
      </c>
      <c r="E125" s="21">
        <f>E126</f>
        <v>0</v>
      </c>
      <c r="F125" s="21">
        <f t="shared" ref="F125:K125" si="21">F126</f>
        <v>0</v>
      </c>
      <c r="G125" s="21">
        <f t="shared" si="21"/>
        <v>0</v>
      </c>
      <c r="H125" s="21">
        <f t="shared" si="21"/>
        <v>0</v>
      </c>
      <c r="I125" s="21">
        <f t="shared" si="21"/>
        <v>0</v>
      </c>
      <c r="J125" s="21">
        <f t="shared" si="19"/>
        <v>206000</v>
      </c>
      <c r="K125" s="21">
        <f t="shared" si="21"/>
        <v>0</v>
      </c>
      <c r="L125" s="21">
        <f>L126</f>
        <v>0</v>
      </c>
      <c r="M125" s="21">
        <f>M126</f>
        <v>0</v>
      </c>
      <c r="N125" s="21">
        <f>N126</f>
        <v>206000</v>
      </c>
      <c r="O125" s="21">
        <f>O126</f>
        <v>206000</v>
      </c>
      <c r="P125" s="30">
        <f t="shared" si="12"/>
        <v>206000</v>
      </c>
      <c r="Q125" s="35"/>
      <c r="R125" s="35"/>
      <c r="S125" s="35"/>
      <c r="T125" s="4"/>
      <c r="U125" s="7"/>
      <c r="V125" s="7"/>
      <c r="W125" s="5"/>
      <c r="X125" s="7"/>
      <c r="Y125" s="123"/>
      <c r="Z125" s="125"/>
    </row>
    <row r="126" spans="1:26" s="122" customFormat="1" ht="55.9" customHeight="1" x14ac:dyDescent="0.2">
      <c r="A126" s="100">
        <v>1017363</v>
      </c>
      <c r="B126" s="101" t="s">
        <v>330</v>
      </c>
      <c r="C126" s="38" t="s">
        <v>312</v>
      </c>
      <c r="D126" s="74" t="s">
        <v>333</v>
      </c>
      <c r="E126" s="40">
        <f>F126+I126</f>
        <v>0</v>
      </c>
      <c r="F126" s="41"/>
      <c r="G126" s="41"/>
      <c r="H126" s="41"/>
      <c r="I126" s="41"/>
      <c r="J126" s="40">
        <f t="shared" si="19"/>
        <v>206000</v>
      </c>
      <c r="K126" s="40"/>
      <c r="L126" s="41"/>
      <c r="M126" s="41"/>
      <c r="N126" s="41">
        <f>O126</f>
        <v>206000</v>
      </c>
      <c r="O126" s="41">
        <f>200000+6000</f>
        <v>206000</v>
      </c>
      <c r="P126" s="48">
        <f t="shared" si="12"/>
        <v>206000</v>
      </c>
      <c r="Q126" s="43"/>
      <c r="R126" s="43"/>
      <c r="S126" s="43"/>
      <c r="T126" s="51"/>
      <c r="U126" s="44"/>
      <c r="V126" s="44"/>
      <c r="W126" s="45"/>
      <c r="X126" s="44"/>
      <c r="Y126" s="133"/>
      <c r="Z126" s="143"/>
    </row>
    <row r="127" spans="1:26" s="102" customFormat="1" ht="55.9" customHeight="1" x14ac:dyDescent="0.2">
      <c r="A127" s="75">
        <v>1500000</v>
      </c>
      <c r="B127" s="75"/>
      <c r="C127" s="114"/>
      <c r="D127" s="77" t="s">
        <v>394</v>
      </c>
      <c r="E127" s="65">
        <f>F127+I127</f>
        <v>930000</v>
      </c>
      <c r="F127" s="65">
        <f t="shared" ref="F127:O127" si="22">F128</f>
        <v>930000</v>
      </c>
      <c r="G127" s="65">
        <f t="shared" si="22"/>
        <v>0</v>
      </c>
      <c r="H127" s="65">
        <f t="shared" si="22"/>
        <v>0</v>
      </c>
      <c r="I127" s="65">
        <f t="shared" si="22"/>
        <v>0</v>
      </c>
      <c r="J127" s="30">
        <f t="shared" si="19"/>
        <v>671913600</v>
      </c>
      <c r="K127" s="65">
        <f t="shared" si="22"/>
        <v>0</v>
      </c>
      <c r="L127" s="65">
        <f t="shared" si="22"/>
        <v>0</v>
      </c>
      <c r="M127" s="65">
        <f t="shared" si="22"/>
        <v>0</v>
      </c>
      <c r="N127" s="65">
        <f t="shared" si="22"/>
        <v>671913600</v>
      </c>
      <c r="O127" s="65">
        <f t="shared" si="22"/>
        <v>44756000</v>
      </c>
      <c r="P127" s="30">
        <f t="shared" si="12"/>
        <v>672843600</v>
      </c>
      <c r="Q127" s="35"/>
      <c r="R127" s="35">
        <f>P127-Q127</f>
        <v>672843600</v>
      </c>
      <c r="S127" s="35"/>
      <c r="T127" s="7">
        <v>30000</v>
      </c>
      <c r="U127" s="7">
        <f t="shared" si="13"/>
        <v>672813600</v>
      </c>
      <c r="V127" s="7"/>
      <c r="X127" s="7"/>
      <c r="Y127" s="135">
        <v>630187600</v>
      </c>
      <c r="Z127" s="140">
        <f>P127-Y127</f>
        <v>42656000</v>
      </c>
    </row>
    <row r="128" spans="1:26" s="8" customFormat="1" ht="39.75" x14ac:dyDescent="0.2">
      <c r="A128" s="75">
        <v>1510000</v>
      </c>
      <c r="B128" s="75"/>
      <c r="C128" s="114"/>
      <c r="D128" s="77" t="s">
        <v>395</v>
      </c>
      <c r="E128" s="65">
        <f>F128+I128</f>
        <v>930000</v>
      </c>
      <c r="F128" s="65">
        <f>F133+F129+F131</f>
        <v>930000</v>
      </c>
      <c r="G128" s="65">
        <f>G133+G129+G131</f>
        <v>0</v>
      </c>
      <c r="H128" s="65">
        <f>H133+H129+H131</f>
        <v>0</v>
      </c>
      <c r="I128" s="65">
        <f>I133+I129+I131</f>
        <v>0</v>
      </c>
      <c r="J128" s="30">
        <f t="shared" si="19"/>
        <v>671913600</v>
      </c>
      <c r="K128" s="65">
        <f>K133+K129+K131</f>
        <v>0</v>
      </c>
      <c r="L128" s="65">
        <f>L133+L129+L131</f>
        <v>0</v>
      </c>
      <c r="M128" s="65">
        <f>M133+M129+M131</f>
        <v>0</v>
      </c>
      <c r="N128" s="65">
        <f>N133+N129+N131</f>
        <v>671913600</v>
      </c>
      <c r="O128" s="65">
        <f>O133+O129+O131</f>
        <v>44756000</v>
      </c>
      <c r="P128" s="30">
        <f t="shared" si="12"/>
        <v>672843600</v>
      </c>
      <c r="Q128" s="35"/>
      <c r="R128" s="35">
        <f>P128-Q128</f>
        <v>672843600</v>
      </c>
      <c r="S128" s="35"/>
      <c r="T128" s="7"/>
      <c r="U128" s="7">
        <f t="shared" si="13"/>
        <v>672843600</v>
      </c>
      <c r="V128" s="7"/>
      <c r="X128" s="7"/>
      <c r="Y128" s="132"/>
      <c r="Z128" s="140"/>
    </row>
    <row r="129" spans="1:26" ht="25.5" x14ac:dyDescent="0.2">
      <c r="A129" s="76">
        <v>1516080</v>
      </c>
      <c r="B129" s="76">
        <v>6080</v>
      </c>
      <c r="C129" s="79"/>
      <c r="D129" s="78" t="s">
        <v>344</v>
      </c>
      <c r="E129" s="66">
        <f>F129+I129</f>
        <v>30000</v>
      </c>
      <c r="F129" s="66">
        <f>F130</f>
        <v>30000</v>
      </c>
      <c r="G129" s="66">
        <f>G130</f>
        <v>0</v>
      </c>
      <c r="H129" s="66">
        <f>H130</f>
        <v>0</v>
      </c>
      <c r="I129" s="66">
        <f>I130</f>
        <v>0</v>
      </c>
      <c r="J129" s="21">
        <f t="shared" si="19"/>
        <v>0</v>
      </c>
      <c r="K129" s="66">
        <f>K130</f>
        <v>0</v>
      </c>
      <c r="L129" s="66">
        <f>L130</f>
        <v>0</v>
      </c>
      <c r="M129" s="66">
        <f>M130</f>
        <v>0</v>
      </c>
      <c r="N129" s="66">
        <f>N130</f>
        <v>0</v>
      </c>
      <c r="O129" s="66">
        <f>O130</f>
        <v>0</v>
      </c>
      <c r="P129" s="30">
        <f t="shared" si="12"/>
        <v>30000</v>
      </c>
      <c r="Q129" s="35"/>
      <c r="R129" s="35"/>
      <c r="S129" s="35"/>
      <c r="T129" s="4"/>
      <c r="U129" s="7"/>
      <c r="V129" s="7"/>
      <c r="X129" s="7"/>
    </row>
    <row r="130" spans="1:26" s="45" customFormat="1" ht="83.45" customHeight="1" x14ac:dyDescent="0.2">
      <c r="A130" s="80">
        <v>1516084</v>
      </c>
      <c r="B130" s="80">
        <v>6084</v>
      </c>
      <c r="C130" s="81" t="s">
        <v>342</v>
      </c>
      <c r="D130" s="82" t="s">
        <v>343</v>
      </c>
      <c r="E130" s="66">
        <f t="shared" ref="E130:E135" si="23">F130+I130</f>
        <v>30000</v>
      </c>
      <c r="F130" s="67">
        <v>30000</v>
      </c>
      <c r="G130" s="93"/>
      <c r="H130" s="93"/>
      <c r="I130" s="93"/>
      <c r="J130" s="40">
        <f t="shared" si="19"/>
        <v>0</v>
      </c>
      <c r="K130" s="67"/>
      <c r="L130" s="67"/>
      <c r="M130" s="67"/>
      <c r="N130" s="67"/>
      <c r="O130" s="67"/>
      <c r="P130" s="48">
        <f t="shared" si="12"/>
        <v>30000</v>
      </c>
      <c r="Q130" s="43"/>
      <c r="R130" s="43"/>
      <c r="S130" s="43"/>
      <c r="T130" s="51"/>
      <c r="U130" s="44"/>
      <c r="V130" s="44"/>
      <c r="X130" s="44"/>
      <c r="Y130" s="133"/>
      <c r="Z130" s="141"/>
    </row>
    <row r="131" spans="1:26" ht="15.6" customHeight="1" x14ac:dyDescent="0.2">
      <c r="A131" s="76">
        <v>1517360</v>
      </c>
      <c r="B131" s="76">
        <v>7360</v>
      </c>
      <c r="C131" s="79"/>
      <c r="D131" s="78" t="s">
        <v>334</v>
      </c>
      <c r="E131" s="66">
        <f t="shared" si="23"/>
        <v>0</v>
      </c>
      <c r="F131" s="66">
        <f>F132</f>
        <v>0</v>
      </c>
      <c r="G131" s="66">
        <f>G132</f>
        <v>0</v>
      </c>
      <c r="H131" s="66">
        <f>H132</f>
        <v>0</v>
      </c>
      <c r="I131" s="66">
        <f>I132</f>
        <v>0</v>
      </c>
      <c r="J131" s="21">
        <f t="shared" si="19"/>
        <v>213280100</v>
      </c>
      <c r="K131" s="66">
        <f>K132</f>
        <v>0</v>
      </c>
      <c r="L131" s="66">
        <f>L132</f>
        <v>0</v>
      </c>
      <c r="M131" s="66">
        <f>M132</f>
        <v>0</v>
      </c>
      <c r="N131" s="66">
        <f>N132</f>
        <v>213280100</v>
      </c>
      <c r="O131" s="66">
        <f>O132</f>
        <v>42656000</v>
      </c>
      <c r="P131" s="30">
        <f t="shared" si="12"/>
        <v>213280100</v>
      </c>
      <c r="Q131" s="35"/>
      <c r="R131" s="35"/>
      <c r="S131" s="35"/>
      <c r="T131" s="4"/>
      <c r="U131" s="7"/>
      <c r="V131" s="7"/>
      <c r="X131" s="7"/>
    </row>
    <row r="132" spans="1:26" s="45" customFormat="1" ht="51" x14ac:dyDescent="0.2">
      <c r="A132" s="80">
        <v>1517367</v>
      </c>
      <c r="B132" s="80">
        <v>7367</v>
      </c>
      <c r="C132" s="81" t="s">
        <v>312</v>
      </c>
      <c r="D132" s="82" t="s">
        <v>393</v>
      </c>
      <c r="E132" s="67">
        <f t="shared" si="23"/>
        <v>0</v>
      </c>
      <c r="F132" s="67"/>
      <c r="G132" s="93"/>
      <c r="H132" s="93"/>
      <c r="I132" s="93"/>
      <c r="J132" s="40">
        <f t="shared" si="19"/>
        <v>213280100</v>
      </c>
      <c r="K132" s="67"/>
      <c r="L132" s="67"/>
      <c r="M132" s="67"/>
      <c r="N132" s="67">
        <f>O132+170624100</f>
        <v>213280100</v>
      </c>
      <c r="O132" s="67">
        <f>42656000</f>
        <v>42656000</v>
      </c>
      <c r="P132" s="48">
        <f t="shared" si="12"/>
        <v>213280100</v>
      </c>
      <c r="Q132" s="43"/>
      <c r="R132" s="43"/>
      <c r="S132" s="43"/>
      <c r="T132" s="51"/>
      <c r="U132" s="44"/>
      <c r="V132" s="44"/>
      <c r="X132" s="44"/>
      <c r="Y132" s="133"/>
      <c r="Z132" s="141"/>
    </row>
    <row r="133" spans="1:26" s="102" customFormat="1" ht="25.5" x14ac:dyDescent="0.2">
      <c r="A133" s="76">
        <v>1517460</v>
      </c>
      <c r="B133" s="76">
        <v>7460</v>
      </c>
      <c r="C133" s="79"/>
      <c r="D133" s="78" t="s">
        <v>202</v>
      </c>
      <c r="E133" s="66">
        <f t="shared" si="23"/>
        <v>900000</v>
      </c>
      <c r="F133" s="66">
        <f>F134+F135</f>
        <v>900000</v>
      </c>
      <c r="G133" s="66">
        <f>G134+G135</f>
        <v>0</v>
      </c>
      <c r="H133" s="66">
        <f>H134+H135</f>
        <v>0</v>
      </c>
      <c r="I133" s="66">
        <f>I134+I135</f>
        <v>0</v>
      </c>
      <c r="J133" s="21">
        <f t="shared" si="19"/>
        <v>458633500</v>
      </c>
      <c r="K133" s="66">
        <f>K134+K135</f>
        <v>0</v>
      </c>
      <c r="L133" s="66">
        <f>L134+L135</f>
        <v>0</v>
      </c>
      <c r="M133" s="66">
        <f>M134+M135</f>
        <v>0</v>
      </c>
      <c r="N133" s="66">
        <f>N134+N135</f>
        <v>458633500</v>
      </c>
      <c r="O133" s="66">
        <f>O134+O135</f>
        <v>2100000</v>
      </c>
      <c r="P133" s="30">
        <f t="shared" si="12"/>
        <v>459533500</v>
      </c>
      <c r="Q133" s="35"/>
      <c r="R133" s="35">
        <f>P133-Q133</f>
        <v>459533500</v>
      </c>
      <c r="S133" s="35"/>
      <c r="T133" s="4"/>
      <c r="U133" s="7">
        <f t="shared" si="13"/>
        <v>459533500</v>
      </c>
      <c r="V133" s="7"/>
      <c r="X133" s="7"/>
      <c r="Y133" s="135"/>
      <c r="Z133" s="140"/>
    </row>
    <row r="134" spans="1:26" s="112" customFormat="1" ht="63" customHeight="1" x14ac:dyDescent="0.3">
      <c r="A134" s="89">
        <v>1517461</v>
      </c>
      <c r="B134" s="89">
        <v>7461</v>
      </c>
      <c r="C134" s="89" t="s">
        <v>139</v>
      </c>
      <c r="D134" s="90" t="s">
        <v>307</v>
      </c>
      <c r="E134" s="67">
        <f t="shared" si="23"/>
        <v>900000</v>
      </c>
      <c r="F134" s="67">
        <v>900000</v>
      </c>
      <c r="G134" s="67"/>
      <c r="H134" s="67"/>
      <c r="I134" s="67"/>
      <c r="J134" s="40">
        <f t="shared" si="19"/>
        <v>2100000</v>
      </c>
      <c r="K134" s="67"/>
      <c r="L134" s="67"/>
      <c r="M134" s="67"/>
      <c r="N134" s="67">
        <f>O134</f>
        <v>2100000</v>
      </c>
      <c r="O134" s="67">
        <v>2100000</v>
      </c>
      <c r="P134" s="48">
        <f t="shared" si="12"/>
        <v>3000000</v>
      </c>
      <c r="Q134" s="67">
        <f>F134+K134</f>
        <v>900000</v>
      </c>
      <c r="Y134" s="136"/>
      <c r="Z134" s="144"/>
    </row>
    <row r="135" spans="1:26" s="113" customFormat="1" ht="74.45" customHeight="1" x14ac:dyDescent="0.2">
      <c r="A135" s="80">
        <v>1517462</v>
      </c>
      <c r="B135" s="80">
        <v>7462</v>
      </c>
      <c r="C135" s="81" t="s">
        <v>139</v>
      </c>
      <c r="D135" s="82" t="s">
        <v>401</v>
      </c>
      <c r="E135" s="67">
        <f t="shared" si="23"/>
        <v>0</v>
      </c>
      <c r="F135" s="67"/>
      <c r="G135" s="67"/>
      <c r="H135" s="67"/>
      <c r="I135" s="67"/>
      <c r="J135" s="40">
        <f t="shared" si="19"/>
        <v>456533500</v>
      </c>
      <c r="K135" s="67"/>
      <c r="L135" s="67"/>
      <c r="M135" s="67"/>
      <c r="N135" s="67">
        <f>O135+456533500</f>
        <v>456533500</v>
      </c>
      <c r="O135" s="67"/>
      <c r="P135" s="48">
        <f t="shared" si="12"/>
        <v>456533500</v>
      </c>
      <c r="Q135" s="43"/>
      <c r="R135" s="43">
        <f>P135-Q135</f>
        <v>456533500</v>
      </c>
      <c r="S135" s="43"/>
      <c r="T135" s="51"/>
      <c r="U135" s="44">
        <f t="shared" si="13"/>
        <v>456533500</v>
      </c>
      <c r="V135" s="44"/>
      <c r="X135" s="44"/>
      <c r="Y135" s="137"/>
      <c r="Z135" s="142"/>
    </row>
    <row r="136" spans="1:26" s="8" customFormat="1" ht="30.6" customHeight="1" x14ac:dyDescent="0.2">
      <c r="A136" s="103">
        <v>2400000</v>
      </c>
      <c r="B136" s="103"/>
      <c r="C136" s="104"/>
      <c r="D136" s="105" t="s">
        <v>387</v>
      </c>
      <c r="E136" s="30">
        <f t="shared" ref="E136:E141" si="24">F136+I136</f>
        <v>5200000</v>
      </c>
      <c r="F136" s="65">
        <f>F137</f>
        <v>5200000</v>
      </c>
      <c r="G136" s="65">
        <f>G137</f>
        <v>0</v>
      </c>
      <c r="H136" s="65">
        <f>H137</f>
        <v>0</v>
      </c>
      <c r="I136" s="65">
        <f>I137</f>
        <v>0</v>
      </c>
      <c r="J136" s="30">
        <f t="shared" si="19"/>
        <v>5630000</v>
      </c>
      <c r="K136" s="65">
        <f>K137</f>
        <v>5630000</v>
      </c>
      <c r="L136" s="65">
        <f>L137</f>
        <v>0</v>
      </c>
      <c r="M136" s="65">
        <f>M137</f>
        <v>0</v>
      </c>
      <c r="N136" s="65">
        <f>N137</f>
        <v>0</v>
      </c>
      <c r="O136" s="65">
        <f>O137</f>
        <v>0</v>
      </c>
      <c r="P136" s="30">
        <f t="shared" si="12"/>
        <v>10830000</v>
      </c>
      <c r="Q136" s="35">
        <v>86809660</v>
      </c>
      <c r="R136" s="35">
        <f>P136-Q136</f>
        <v>-75979660</v>
      </c>
      <c r="S136" s="35"/>
      <c r="T136" s="4">
        <v>86809660</v>
      </c>
      <c r="U136" s="7">
        <f t="shared" si="13"/>
        <v>-75979660</v>
      </c>
      <c r="V136" s="7"/>
      <c r="X136" s="7"/>
      <c r="Y136" s="132">
        <v>10830000</v>
      </c>
      <c r="Z136" s="140">
        <f>P136-Y136</f>
        <v>0</v>
      </c>
    </row>
    <row r="137" spans="1:26" s="8" customFormat="1" ht="25.5" x14ac:dyDescent="0.2">
      <c r="A137" s="103">
        <v>2410000</v>
      </c>
      <c r="B137" s="103"/>
      <c r="C137" s="104"/>
      <c r="D137" s="105" t="s">
        <v>388</v>
      </c>
      <c r="E137" s="30">
        <f t="shared" si="24"/>
        <v>5200000</v>
      </c>
      <c r="F137" s="65">
        <f>F138+F139</f>
        <v>5200000</v>
      </c>
      <c r="G137" s="65">
        <f>G138+G139</f>
        <v>0</v>
      </c>
      <c r="H137" s="65">
        <f>H138+H139</f>
        <v>0</v>
      </c>
      <c r="I137" s="65">
        <f>I138+I139</f>
        <v>0</v>
      </c>
      <c r="J137" s="30">
        <f t="shared" si="19"/>
        <v>5630000</v>
      </c>
      <c r="K137" s="65">
        <f>K138+K139</f>
        <v>5630000</v>
      </c>
      <c r="L137" s="65">
        <f>L138+L139</f>
        <v>0</v>
      </c>
      <c r="M137" s="65">
        <f>M138+M139</f>
        <v>0</v>
      </c>
      <c r="N137" s="65">
        <f>N138+N139</f>
        <v>0</v>
      </c>
      <c r="O137" s="65">
        <f>O138+O139</f>
        <v>0</v>
      </c>
      <c r="P137" s="30">
        <f t="shared" si="12"/>
        <v>10830000</v>
      </c>
      <c r="Q137" s="35"/>
      <c r="R137" s="35">
        <f>P137-Q137</f>
        <v>10830000</v>
      </c>
      <c r="S137" s="35"/>
      <c r="T137" s="4"/>
      <c r="U137" s="7">
        <f t="shared" si="13"/>
        <v>10830000</v>
      </c>
      <c r="V137" s="7"/>
      <c r="X137" s="7"/>
      <c r="Y137" s="132"/>
      <c r="Z137" s="140"/>
    </row>
    <row r="138" spans="1:26" ht="25.5" x14ac:dyDescent="0.2">
      <c r="A138" s="106">
        <v>2417110</v>
      </c>
      <c r="B138" s="106">
        <v>7110</v>
      </c>
      <c r="C138" s="107" t="s">
        <v>327</v>
      </c>
      <c r="D138" s="62" t="s">
        <v>328</v>
      </c>
      <c r="E138" s="21">
        <f t="shared" si="24"/>
        <v>5200000</v>
      </c>
      <c r="F138" s="66">
        <v>5200000</v>
      </c>
      <c r="G138" s="66"/>
      <c r="H138" s="66"/>
      <c r="I138" s="65"/>
      <c r="J138" s="21">
        <f t="shared" si="19"/>
        <v>0</v>
      </c>
      <c r="K138" s="66"/>
      <c r="L138" s="66"/>
      <c r="M138" s="66"/>
      <c r="N138" s="66"/>
      <c r="O138" s="66"/>
      <c r="P138" s="30">
        <f t="shared" si="12"/>
        <v>5200000</v>
      </c>
      <c r="Q138" s="35"/>
      <c r="R138" s="35">
        <f>P138-Q138</f>
        <v>5200000</v>
      </c>
      <c r="S138" s="35"/>
      <c r="T138" s="4"/>
      <c r="U138" s="7">
        <f t="shared" si="13"/>
        <v>5200000</v>
      </c>
      <c r="V138" s="7"/>
      <c r="X138" s="7"/>
    </row>
    <row r="139" spans="1:26" ht="38.25" x14ac:dyDescent="0.2">
      <c r="A139" s="106">
        <v>2418340</v>
      </c>
      <c r="B139" s="106">
        <v>8340</v>
      </c>
      <c r="C139" s="107" t="s">
        <v>27</v>
      </c>
      <c r="D139" s="62" t="s">
        <v>200</v>
      </c>
      <c r="E139" s="21">
        <f t="shared" si="24"/>
        <v>0</v>
      </c>
      <c r="F139" s="66"/>
      <c r="G139" s="66"/>
      <c r="H139" s="66"/>
      <c r="I139" s="65"/>
      <c r="J139" s="21">
        <f t="shared" si="19"/>
        <v>5630000</v>
      </c>
      <c r="K139" s="66">
        <v>5630000</v>
      </c>
      <c r="L139" s="66"/>
      <c r="M139" s="66"/>
      <c r="N139" s="66"/>
      <c r="O139" s="66"/>
      <c r="P139" s="30">
        <f t="shared" si="12"/>
        <v>5630000</v>
      </c>
      <c r="Q139" s="35"/>
      <c r="R139" s="35"/>
      <c r="S139" s="35"/>
      <c r="T139" s="4"/>
      <c r="U139" s="7">
        <f t="shared" si="13"/>
        <v>5630000</v>
      </c>
      <c r="V139" s="7"/>
      <c r="X139" s="7"/>
    </row>
    <row r="140" spans="1:26" ht="38.25" x14ac:dyDescent="0.2">
      <c r="A140" s="103">
        <v>2700000</v>
      </c>
      <c r="B140" s="3"/>
      <c r="C140" s="3"/>
      <c r="D140" s="28" t="s">
        <v>389</v>
      </c>
      <c r="E140" s="30">
        <f t="shared" si="24"/>
        <v>3860000</v>
      </c>
      <c r="F140" s="30">
        <f t="shared" ref="F140:K140" si="25">F141</f>
        <v>3860000</v>
      </c>
      <c r="G140" s="30">
        <f t="shared" si="25"/>
        <v>0</v>
      </c>
      <c r="H140" s="30">
        <f t="shared" si="25"/>
        <v>0</v>
      </c>
      <c r="I140" s="30">
        <f t="shared" si="25"/>
        <v>0</v>
      </c>
      <c r="J140" s="30">
        <f>K140+N140</f>
        <v>151334053</v>
      </c>
      <c r="K140" s="30">
        <f t="shared" si="25"/>
        <v>137948525</v>
      </c>
      <c r="L140" s="30">
        <f>L141</f>
        <v>0</v>
      </c>
      <c r="M140" s="30">
        <f>M141</f>
        <v>0</v>
      </c>
      <c r="N140" s="30">
        <f>N141</f>
        <v>13385528</v>
      </c>
      <c r="O140" s="30">
        <f>O141</f>
        <v>980000</v>
      </c>
      <c r="P140" s="30">
        <f t="shared" si="12"/>
        <v>155194053</v>
      </c>
      <c r="Q140" s="35">
        <v>4321494552</v>
      </c>
      <c r="R140" s="35">
        <f>P151-Q140</f>
        <v>1654161820</v>
      </c>
      <c r="S140" s="35"/>
      <c r="T140" s="4">
        <v>269000000</v>
      </c>
      <c r="U140" s="7">
        <f t="shared" si="13"/>
        <v>-113805947</v>
      </c>
      <c r="V140" s="7"/>
      <c r="X140" s="7"/>
      <c r="Y140" s="123">
        <v>154194053</v>
      </c>
      <c r="Z140" s="138">
        <f>P140-Y140</f>
        <v>1000000</v>
      </c>
    </row>
    <row r="141" spans="1:26" ht="38.25" x14ac:dyDescent="0.2">
      <c r="A141" s="103">
        <v>2710000</v>
      </c>
      <c r="B141" s="3"/>
      <c r="C141" s="3"/>
      <c r="D141" s="28" t="s">
        <v>390</v>
      </c>
      <c r="E141" s="30">
        <f t="shared" si="24"/>
        <v>3860000</v>
      </c>
      <c r="F141" s="30">
        <f>F142+F143+F146+F147</f>
        <v>3860000</v>
      </c>
      <c r="G141" s="30">
        <f>G142+G143+G146+G147</f>
        <v>0</v>
      </c>
      <c r="H141" s="30">
        <f>H142+H143+H146+H147</f>
        <v>0</v>
      </c>
      <c r="I141" s="30">
        <f>I142+I143+I146+I147</f>
        <v>0</v>
      </c>
      <c r="J141" s="30">
        <f>K141+N141</f>
        <v>151334053</v>
      </c>
      <c r="K141" s="30">
        <f>K142+K143+K146+K147</f>
        <v>137948525</v>
      </c>
      <c r="L141" s="30">
        <f>L142+L143+L146+L147</f>
        <v>0</v>
      </c>
      <c r="M141" s="30">
        <f>M142+M143+M146+M147</f>
        <v>0</v>
      </c>
      <c r="N141" s="30">
        <f>N142+N143+N146+N147</f>
        <v>13385528</v>
      </c>
      <c r="O141" s="30">
        <f>O142+O143+O146+O147</f>
        <v>980000</v>
      </c>
      <c r="P141" s="30">
        <f t="shared" si="12"/>
        <v>155194053</v>
      </c>
      <c r="Q141" s="35"/>
      <c r="R141" s="35">
        <f>P152-Q141</f>
        <v>5975656372</v>
      </c>
      <c r="S141" s="35"/>
      <c r="T141" s="4"/>
      <c r="U141" s="7">
        <f t="shared" si="13"/>
        <v>155194053</v>
      </c>
      <c r="V141" s="7"/>
      <c r="X141" s="7"/>
    </row>
    <row r="142" spans="1:26" ht="25.5" x14ac:dyDescent="0.2">
      <c r="A142" s="106">
        <v>2717430</v>
      </c>
      <c r="B142" s="6" t="s">
        <v>317</v>
      </c>
      <c r="C142" s="6" t="s">
        <v>318</v>
      </c>
      <c r="D142" s="25" t="s">
        <v>319</v>
      </c>
      <c r="E142" s="21">
        <f t="shared" ref="E142:E154" si="26">F142+I142</f>
        <v>2310000</v>
      </c>
      <c r="F142" s="21">
        <v>2310000</v>
      </c>
      <c r="G142" s="21"/>
      <c r="H142" s="21"/>
      <c r="I142" s="21"/>
      <c r="J142" s="21">
        <f t="shared" ref="J142:J150" si="27">K142+N142</f>
        <v>980000</v>
      </c>
      <c r="K142" s="21"/>
      <c r="L142" s="21"/>
      <c r="M142" s="21"/>
      <c r="N142" s="21">
        <f>O142</f>
        <v>980000</v>
      </c>
      <c r="O142" s="21">
        <v>980000</v>
      </c>
      <c r="P142" s="30">
        <f t="shared" si="12"/>
        <v>3290000</v>
      </c>
      <c r="Q142" s="47"/>
      <c r="R142" s="47"/>
      <c r="S142" s="47"/>
      <c r="T142" s="4"/>
      <c r="U142" s="7">
        <f t="shared" si="13"/>
        <v>3290000</v>
      </c>
      <c r="V142" s="4"/>
      <c r="X142" s="4"/>
    </row>
    <row r="143" spans="1:26" ht="25.5" x14ac:dyDescent="0.2">
      <c r="A143" s="106">
        <v>2717460</v>
      </c>
      <c r="B143" s="6" t="s">
        <v>320</v>
      </c>
      <c r="C143" s="6"/>
      <c r="D143" s="25" t="s">
        <v>202</v>
      </c>
      <c r="E143" s="21">
        <f t="shared" si="26"/>
        <v>1000000</v>
      </c>
      <c r="F143" s="21">
        <f>F145+F144</f>
        <v>1000000</v>
      </c>
      <c r="G143" s="21">
        <f>G145+G144</f>
        <v>0</v>
      </c>
      <c r="H143" s="21">
        <f>H145+H144</f>
        <v>0</v>
      </c>
      <c r="I143" s="21">
        <f>I145+I144</f>
        <v>0</v>
      </c>
      <c r="J143" s="21">
        <f t="shared" si="27"/>
        <v>150354053</v>
      </c>
      <c r="K143" s="21">
        <f>K145+K144</f>
        <v>137948525</v>
      </c>
      <c r="L143" s="21">
        <f>L145+L144</f>
        <v>0</v>
      </c>
      <c r="M143" s="21">
        <f>M145+M144</f>
        <v>0</v>
      </c>
      <c r="N143" s="21">
        <f>N145+N144</f>
        <v>12405528</v>
      </c>
      <c r="O143" s="21">
        <f>O145+O144</f>
        <v>0</v>
      </c>
      <c r="P143" s="30">
        <f t="shared" si="12"/>
        <v>151354053</v>
      </c>
      <c r="Q143" s="47"/>
      <c r="R143" s="47"/>
      <c r="S143" s="47"/>
      <c r="T143" s="4"/>
      <c r="U143" s="7"/>
      <c r="V143" s="4"/>
      <c r="X143" s="4"/>
    </row>
    <row r="144" spans="1:26" s="122" customFormat="1" ht="38.25" x14ac:dyDescent="0.2">
      <c r="A144" s="89">
        <v>2717461</v>
      </c>
      <c r="B144" s="38" t="s">
        <v>429</v>
      </c>
      <c r="C144" s="38" t="s">
        <v>139</v>
      </c>
      <c r="D144" s="148" t="s">
        <v>307</v>
      </c>
      <c r="E144" s="40">
        <f t="shared" si="26"/>
        <v>1000000</v>
      </c>
      <c r="F144" s="40">
        <v>1000000</v>
      </c>
      <c r="G144" s="40"/>
      <c r="H144" s="40"/>
      <c r="I144" s="40"/>
      <c r="J144" s="40"/>
      <c r="K144" s="40"/>
      <c r="L144" s="40"/>
      <c r="M144" s="40"/>
      <c r="N144" s="40"/>
      <c r="O144" s="40"/>
      <c r="P144" s="48">
        <f t="shared" si="12"/>
        <v>1000000</v>
      </c>
      <c r="Q144" s="108"/>
      <c r="R144" s="108"/>
      <c r="S144" s="108"/>
      <c r="T144" s="51"/>
      <c r="U144" s="44"/>
      <c r="V144" s="51"/>
      <c r="W144" s="45"/>
      <c r="X144" s="51"/>
      <c r="Y144" s="133"/>
      <c r="Z144" s="143"/>
    </row>
    <row r="145" spans="1:26" s="45" customFormat="1" ht="133.15" customHeight="1" x14ac:dyDescent="0.2">
      <c r="A145" s="89">
        <v>2717464</v>
      </c>
      <c r="B145" s="38" t="s">
        <v>321</v>
      </c>
      <c r="C145" s="38" t="s">
        <v>139</v>
      </c>
      <c r="D145" s="148" t="s">
        <v>437</v>
      </c>
      <c r="E145" s="40">
        <f t="shared" si="26"/>
        <v>0</v>
      </c>
      <c r="F145" s="40"/>
      <c r="G145" s="40"/>
      <c r="H145" s="40"/>
      <c r="I145" s="40"/>
      <c r="J145" s="40">
        <f t="shared" si="27"/>
        <v>150354053</v>
      </c>
      <c r="K145" s="40">
        <v>137948525</v>
      </c>
      <c r="L145" s="40"/>
      <c r="M145" s="40"/>
      <c r="N145" s="40">
        <v>12405528</v>
      </c>
      <c r="O145" s="40"/>
      <c r="P145" s="48">
        <f t="shared" si="12"/>
        <v>150354053</v>
      </c>
      <c r="Q145" s="108"/>
      <c r="R145" s="108"/>
      <c r="S145" s="108"/>
      <c r="T145" s="51"/>
      <c r="U145" s="44"/>
      <c r="V145" s="51"/>
      <c r="X145" s="51"/>
      <c r="Y145" s="133"/>
      <c r="Z145" s="141"/>
    </row>
    <row r="146" spans="1:26" ht="33" customHeight="1" x14ac:dyDescent="0.2">
      <c r="A146" s="106">
        <v>2717630</v>
      </c>
      <c r="B146" s="6" t="s">
        <v>322</v>
      </c>
      <c r="C146" s="6" t="s">
        <v>323</v>
      </c>
      <c r="D146" s="24" t="s">
        <v>324</v>
      </c>
      <c r="E146" s="21">
        <f t="shared" si="26"/>
        <v>350000</v>
      </c>
      <c r="F146" s="21">
        <v>350000</v>
      </c>
      <c r="G146" s="21"/>
      <c r="H146" s="21"/>
      <c r="I146" s="13"/>
      <c r="J146" s="21">
        <f t="shared" si="27"/>
        <v>0</v>
      </c>
      <c r="K146" s="21"/>
      <c r="L146" s="30"/>
      <c r="M146" s="21"/>
      <c r="N146" s="21"/>
      <c r="O146" s="21"/>
      <c r="P146" s="30">
        <f t="shared" si="12"/>
        <v>350000</v>
      </c>
      <c r="Q146" s="35"/>
      <c r="R146" s="35">
        <f>P153-Q146</f>
        <v>5974156372</v>
      </c>
      <c r="S146" s="35"/>
      <c r="T146" s="4"/>
      <c r="U146" s="7">
        <f t="shared" si="13"/>
        <v>350000</v>
      </c>
      <c r="V146" s="7"/>
      <c r="X146" s="7"/>
    </row>
    <row r="147" spans="1:26" ht="18" customHeight="1" x14ac:dyDescent="0.2">
      <c r="A147" s="106">
        <v>2717640</v>
      </c>
      <c r="B147" s="6" t="s">
        <v>325</v>
      </c>
      <c r="C147" s="6" t="s">
        <v>323</v>
      </c>
      <c r="D147" s="24" t="s">
        <v>326</v>
      </c>
      <c r="E147" s="21">
        <f t="shared" si="26"/>
        <v>200000</v>
      </c>
      <c r="F147" s="21">
        <v>200000</v>
      </c>
      <c r="G147" s="21"/>
      <c r="H147" s="21"/>
      <c r="I147" s="13"/>
      <c r="J147" s="21">
        <f t="shared" si="27"/>
        <v>0</v>
      </c>
      <c r="K147" s="21"/>
      <c r="L147" s="30"/>
      <c r="M147" s="21"/>
      <c r="N147" s="21"/>
      <c r="O147" s="21"/>
      <c r="P147" s="30">
        <f t="shared" si="12"/>
        <v>200000</v>
      </c>
      <c r="Q147" s="35"/>
      <c r="R147" s="35"/>
      <c r="S147" s="35"/>
      <c r="T147" s="4"/>
      <c r="U147" s="7">
        <f t="shared" si="13"/>
        <v>200000</v>
      </c>
      <c r="V147" s="7"/>
      <c r="X147" s="7"/>
    </row>
    <row r="148" spans="1:26" s="8" customFormat="1" ht="25.5" x14ac:dyDescent="0.2">
      <c r="A148" s="103">
        <v>2900000</v>
      </c>
      <c r="B148" s="3"/>
      <c r="C148" s="3"/>
      <c r="D148" s="23" t="s">
        <v>391</v>
      </c>
      <c r="E148" s="30">
        <f t="shared" si="26"/>
        <v>100000</v>
      </c>
      <c r="F148" s="30">
        <f>F149</f>
        <v>100000</v>
      </c>
      <c r="G148" s="30">
        <f t="shared" ref="G148:K149" si="28">G149</f>
        <v>0</v>
      </c>
      <c r="H148" s="30">
        <f t="shared" si="28"/>
        <v>0</v>
      </c>
      <c r="I148" s="30">
        <f t="shared" si="28"/>
        <v>0</v>
      </c>
      <c r="J148" s="30">
        <f t="shared" si="27"/>
        <v>0</v>
      </c>
      <c r="K148" s="30">
        <f t="shared" si="28"/>
        <v>0</v>
      </c>
      <c r="L148" s="30">
        <f t="shared" ref="L148:O149" si="29">L149</f>
        <v>0</v>
      </c>
      <c r="M148" s="30">
        <f t="shared" si="29"/>
        <v>0</v>
      </c>
      <c r="N148" s="30">
        <f t="shared" si="29"/>
        <v>0</v>
      </c>
      <c r="O148" s="30">
        <f t="shared" si="29"/>
        <v>0</v>
      </c>
      <c r="P148" s="30">
        <f t="shared" si="12"/>
        <v>100000</v>
      </c>
      <c r="Q148" s="35"/>
      <c r="R148" s="35"/>
      <c r="S148" s="35"/>
      <c r="T148" s="7"/>
      <c r="U148" s="7"/>
      <c r="V148" s="7"/>
      <c r="X148" s="7"/>
      <c r="Y148" s="132">
        <v>100000</v>
      </c>
      <c r="Z148" s="140">
        <f>P148-Y148</f>
        <v>0</v>
      </c>
    </row>
    <row r="149" spans="1:26" s="8" customFormat="1" ht="38.25" x14ac:dyDescent="0.2">
      <c r="A149" s="103">
        <v>2910000</v>
      </c>
      <c r="B149" s="3"/>
      <c r="C149" s="3"/>
      <c r="D149" s="23" t="s">
        <v>392</v>
      </c>
      <c r="E149" s="30">
        <f t="shared" si="26"/>
        <v>100000</v>
      </c>
      <c r="F149" s="30">
        <f>F150</f>
        <v>100000</v>
      </c>
      <c r="G149" s="30">
        <f t="shared" si="28"/>
        <v>0</v>
      </c>
      <c r="H149" s="30">
        <f t="shared" si="28"/>
        <v>0</v>
      </c>
      <c r="I149" s="30">
        <f t="shared" si="28"/>
        <v>0</v>
      </c>
      <c r="J149" s="30">
        <f t="shared" si="27"/>
        <v>0</v>
      </c>
      <c r="K149" s="30">
        <f t="shared" si="28"/>
        <v>0</v>
      </c>
      <c r="L149" s="30">
        <f t="shared" si="29"/>
        <v>0</v>
      </c>
      <c r="M149" s="30">
        <f t="shared" si="29"/>
        <v>0</v>
      </c>
      <c r="N149" s="30">
        <f t="shared" si="29"/>
        <v>0</v>
      </c>
      <c r="O149" s="30">
        <f t="shared" si="29"/>
        <v>0</v>
      </c>
      <c r="P149" s="30">
        <f t="shared" si="12"/>
        <v>100000</v>
      </c>
      <c r="Q149" s="35"/>
      <c r="R149" s="35"/>
      <c r="S149" s="35"/>
      <c r="T149" s="7"/>
      <c r="U149" s="7"/>
      <c r="V149" s="7"/>
      <c r="X149" s="7"/>
      <c r="Y149" s="132"/>
      <c r="Z149" s="140"/>
    </row>
    <row r="150" spans="1:26" ht="42" customHeight="1" x14ac:dyDescent="0.2">
      <c r="A150" s="106">
        <v>2918110</v>
      </c>
      <c r="B150" s="6" t="s">
        <v>360</v>
      </c>
      <c r="C150" s="6" t="s">
        <v>362</v>
      </c>
      <c r="D150" s="24" t="s">
        <v>361</v>
      </c>
      <c r="E150" s="21">
        <f t="shared" si="26"/>
        <v>100000</v>
      </c>
      <c r="F150" s="21">
        <v>100000</v>
      </c>
      <c r="G150" s="21"/>
      <c r="H150" s="21"/>
      <c r="I150" s="13"/>
      <c r="J150" s="21">
        <f t="shared" si="27"/>
        <v>0</v>
      </c>
      <c r="K150" s="21"/>
      <c r="L150" s="30"/>
      <c r="M150" s="21"/>
      <c r="N150" s="21"/>
      <c r="O150" s="21"/>
      <c r="P150" s="30">
        <f t="shared" si="12"/>
        <v>100000</v>
      </c>
      <c r="Q150" s="35"/>
      <c r="R150" s="35"/>
      <c r="S150" s="35"/>
      <c r="T150" s="4"/>
      <c r="U150" s="7"/>
      <c r="V150" s="7"/>
      <c r="X150" s="7"/>
    </row>
    <row r="151" spans="1:26" ht="38.25" x14ac:dyDescent="0.2">
      <c r="A151" s="1">
        <v>3700000</v>
      </c>
      <c r="B151" s="1"/>
      <c r="C151" s="1"/>
      <c r="D151" s="28" t="s">
        <v>120</v>
      </c>
      <c r="E151" s="30">
        <f t="shared" si="26"/>
        <v>5798177784</v>
      </c>
      <c r="F151" s="30">
        <f>SUM(F152)</f>
        <v>5716715955</v>
      </c>
      <c r="G151" s="30">
        <f t="shared" ref="G151:O151" si="30">SUM(G152)</f>
        <v>0</v>
      </c>
      <c r="H151" s="30">
        <f t="shared" si="30"/>
        <v>0</v>
      </c>
      <c r="I151" s="30">
        <f t="shared" si="30"/>
        <v>81461829</v>
      </c>
      <c r="J151" s="30">
        <f t="shared" si="19"/>
        <v>177478588</v>
      </c>
      <c r="K151" s="30">
        <f t="shared" si="30"/>
        <v>17403000</v>
      </c>
      <c r="L151" s="30">
        <f t="shared" si="30"/>
        <v>0</v>
      </c>
      <c r="M151" s="30">
        <f t="shared" si="30"/>
        <v>0</v>
      </c>
      <c r="N151" s="30">
        <f t="shared" si="30"/>
        <v>160075588</v>
      </c>
      <c r="O151" s="30">
        <f t="shared" si="30"/>
        <v>156644088</v>
      </c>
      <c r="P151" s="30">
        <f t="shared" si="12"/>
        <v>5975656372</v>
      </c>
      <c r="Q151" s="35"/>
      <c r="R151" s="35">
        <f>P157-Q151</f>
        <v>2986220400</v>
      </c>
      <c r="S151" s="35"/>
      <c r="T151" s="4">
        <v>4390796839</v>
      </c>
      <c r="U151" s="7">
        <f t="shared" si="13"/>
        <v>1584859533</v>
      </c>
      <c r="V151" s="7">
        <v>689983509</v>
      </c>
      <c r="X151" s="7"/>
      <c r="Y151" s="123">
        <v>5863952920</v>
      </c>
      <c r="Z151" s="138">
        <f>P151-Y151</f>
        <v>111703452</v>
      </c>
    </row>
    <row r="152" spans="1:26" ht="30.6" customHeight="1" x14ac:dyDescent="0.2">
      <c r="A152" s="1">
        <v>3710000</v>
      </c>
      <c r="B152" s="1"/>
      <c r="C152" s="1"/>
      <c r="D152" s="28" t="s">
        <v>138</v>
      </c>
      <c r="E152" s="30">
        <f t="shared" si="26"/>
        <v>5798177784</v>
      </c>
      <c r="F152" s="30">
        <f>F153+F199</f>
        <v>5716715955</v>
      </c>
      <c r="G152" s="30">
        <f>G153+G199</f>
        <v>0</v>
      </c>
      <c r="H152" s="30">
        <f>H153+H199</f>
        <v>0</v>
      </c>
      <c r="I152" s="30">
        <f>I153+I199</f>
        <v>81461829</v>
      </c>
      <c r="J152" s="30">
        <f t="shared" si="19"/>
        <v>177478588</v>
      </c>
      <c r="K152" s="30">
        <f>K153+K199</f>
        <v>17403000</v>
      </c>
      <c r="L152" s="30">
        <f>L153+L199</f>
        <v>0</v>
      </c>
      <c r="M152" s="30">
        <f>M153+M199</f>
        <v>0</v>
      </c>
      <c r="N152" s="30">
        <f>N153+N199</f>
        <v>160075588</v>
      </c>
      <c r="O152" s="30">
        <f>O153+O199</f>
        <v>156644088</v>
      </c>
      <c r="P152" s="30">
        <f t="shared" si="12"/>
        <v>5975656372</v>
      </c>
      <c r="Q152" s="35"/>
      <c r="R152" s="35">
        <f>P158-Q152</f>
        <v>104707000</v>
      </c>
      <c r="S152" s="35"/>
      <c r="T152" s="4">
        <v>10710000</v>
      </c>
      <c r="U152" s="7">
        <f t="shared" si="13"/>
        <v>5964946372</v>
      </c>
      <c r="V152" s="7">
        <f>U151-V151</f>
        <v>894876024</v>
      </c>
      <c r="X152" s="7"/>
      <c r="Y152" s="123">
        <v>5895928885</v>
      </c>
    </row>
    <row r="153" spans="1:26" s="8" customFormat="1" ht="21" customHeight="1" x14ac:dyDescent="0.2">
      <c r="A153" s="1">
        <v>3719000</v>
      </c>
      <c r="B153" s="1">
        <v>9000</v>
      </c>
      <c r="C153" s="1"/>
      <c r="D153" s="28" t="s">
        <v>315</v>
      </c>
      <c r="E153" s="30">
        <f t="shared" si="26"/>
        <v>5796677784</v>
      </c>
      <c r="F153" s="30">
        <f>F154+F156+F177+F185+F180+F189+F190+F191+F192+F193+F194+F195+F166+F182+F196+F197+F198</f>
        <v>5715215955</v>
      </c>
      <c r="G153" s="30">
        <f>G154+G156+G177+G185+G180+G189+G190+G191+G192+G193+G194+G195+G166+G182+G196+G197+G198</f>
        <v>0</v>
      </c>
      <c r="H153" s="30">
        <f>H154+H156+H177+H185+H180+H189+H190+H191+H192+H193+H194+H195+H166+H182+H196+H197+H198</f>
        <v>0</v>
      </c>
      <c r="I153" s="30">
        <f>I154+I156+I177+I185+I180+I189+I190+I191+I192+I193+I194+I195+I166+I182+I196+I197+I198</f>
        <v>81461829</v>
      </c>
      <c r="J153" s="30">
        <f t="shared" si="19"/>
        <v>177478588</v>
      </c>
      <c r="K153" s="30">
        <f>K154+K156+K177+K185+K180+K189+K190+K191+K192+K193+K194+K195+K166+K182+K196+K197+K198</f>
        <v>17403000</v>
      </c>
      <c r="L153" s="30">
        <f>L154+L156+L177+L185+L180+L189+L190+L191+L192+L193+L194+L195+L166+L182+L196+L197+L198</f>
        <v>0</v>
      </c>
      <c r="M153" s="30">
        <f>M154+M156+M177+M185+M180+M189+M190+M191+M192+M193+M194+M195+M166+M182+M196+M197+M198</f>
        <v>0</v>
      </c>
      <c r="N153" s="30">
        <f>N154+N156+N177+N185+N180+N189+N190+N191+N192+N193+N194+N195+N166+N182+N196+N197+N198</f>
        <v>160075588</v>
      </c>
      <c r="O153" s="30">
        <f>O154+O156+O177+O185+O180+O189+O190+O191+O192+O193+O194+O195+O166+O182+O196+O197+O198</f>
        <v>156644088</v>
      </c>
      <c r="P153" s="30">
        <f t="shared" si="12"/>
        <v>5974156372</v>
      </c>
      <c r="Q153" s="35"/>
      <c r="R153" s="35"/>
      <c r="S153" s="35"/>
      <c r="T153" s="7"/>
      <c r="U153" s="7"/>
      <c r="V153" s="7"/>
      <c r="X153" s="7"/>
      <c r="Y153" s="132">
        <f>Y151-Y152</f>
        <v>-31975965</v>
      </c>
      <c r="Z153" s="140"/>
    </row>
    <row r="154" spans="1:26" s="8" customFormat="1" ht="28.15" customHeight="1" x14ac:dyDescent="0.2">
      <c r="A154" s="1">
        <v>3719100</v>
      </c>
      <c r="B154" s="1">
        <v>9100</v>
      </c>
      <c r="C154" s="1"/>
      <c r="D154" s="28" t="s">
        <v>314</v>
      </c>
      <c r="E154" s="30">
        <f t="shared" si="26"/>
        <v>402322140</v>
      </c>
      <c r="F154" s="30">
        <f>F155</f>
        <v>402322140</v>
      </c>
      <c r="G154" s="30">
        <f>G155</f>
        <v>0</v>
      </c>
      <c r="H154" s="30">
        <f>H155</f>
        <v>0</v>
      </c>
      <c r="I154" s="30">
        <f>I155</f>
        <v>0</v>
      </c>
      <c r="J154" s="30">
        <f t="shared" si="19"/>
        <v>0</v>
      </c>
      <c r="K154" s="30">
        <f>K155</f>
        <v>0</v>
      </c>
      <c r="L154" s="30">
        <f>L155</f>
        <v>0</v>
      </c>
      <c r="M154" s="30">
        <f>M155</f>
        <v>0</v>
      </c>
      <c r="N154" s="30">
        <f>N155</f>
        <v>0</v>
      </c>
      <c r="O154" s="30">
        <f>O155</f>
        <v>0</v>
      </c>
      <c r="P154" s="30">
        <f t="shared" si="12"/>
        <v>402322140</v>
      </c>
      <c r="Q154" s="35"/>
      <c r="R154" s="35"/>
      <c r="S154" s="35"/>
      <c r="T154" s="7"/>
      <c r="U154" s="7"/>
      <c r="V154" s="7"/>
      <c r="X154" s="7"/>
      <c r="Y154" s="132"/>
      <c r="Z154" s="140"/>
    </row>
    <row r="155" spans="1:26" ht="88.9" customHeight="1" x14ac:dyDescent="0.2">
      <c r="A155" s="6" t="s">
        <v>203</v>
      </c>
      <c r="B155" s="6" t="s">
        <v>176</v>
      </c>
      <c r="C155" s="6" t="s">
        <v>62</v>
      </c>
      <c r="D155" s="27" t="s">
        <v>164</v>
      </c>
      <c r="E155" s="21">
        <f t="shared" ref="E155:E160" si="31">F155+I155</f>
        <v>402322140</v>
      </c>
      <c r="F155" s="21">
        <v>402322140</v>
      </c>
      <c r="G155" s="30"/>
      <c r="H155" s="30"/>
      <c r="I155" s="30"/>
      <c r="J155" s="21">
        <f t="shared" si="19"/>
        <v>0</v>
      </c>
      <c r="K155" s="30"/>
      <c r="L155" s="30"/>
      <c r="M155" s="30"/>
      <c r="N155" s="32">
        <f t="shared" ref="N155:N179" si="32">O155</f>
        <v>0</v>
      </c>
      <c r="O155" s="30"/>
      <c r="P155" s="30">
        <f t="shared" si="12"/>
        <v>402322140</v>
      </c>
      <c r="Q155" s="35"/>
      <c r="R155" s="35"/>
      <c r="S155" s="35"/>
      <c r="T155" s="4"/>
      <c r="U155" s="7"/>
      <c r="V155" s="7"/>
      <c r="X155" s="7"/>
    </row>
    <row r="156" spans="1:26" s="8" customFormat="1" ht="63" customHeight="1" x14ac:dyDescent="0.2">
      <c r="A156" s="3" t="s">
        <v>293</v>
      </c>
      <c r="B156" s="3" t="s">
        <v>294</v>
      </c>
      <c r="C156" s="3"/>
      <c r="D156" s="29" t="s">
        <v>292</v>
      </c>
      <c r="E156" s="30">
        <f t="shared" si="31"/>
        <v>5265327616</v>
      </c>
      <c r="F156" s="30">
        <f>F157+F158+F159+F163+F164+F165+F160</f>
        <v>5227441600</v>
      </c>
      <c r="G156" s="30">
        <f>G157+G158+G159+G163+G164+G165+G160</f>
        <v>0</v>
      </c>
      <c r="H156" s="30">
        <f>H157+H158+H159+H163+H164+H165+H160</f>
        <v>0</v>
      </c>
      <c r="I156" s="30">
        <f>I157+I158+I159+I163+I164+I165+I160</f>
        <v>37886016</v>
      </c>
      <c r="J156" s="30">
        <f t="shared" si="19"/>
        <v>0</v>
      </c>
      <c r="K156" s="30">
        <f>K157+K158+K159+K163+K164+K165+K160</f>
        <v>0</v>
      </c>
      <c r="L156" s="30">
        <f>L157+L158+L159+L163+L164+L165+L160</f>
        <v>0</v>
      </c>
      <c r="M156" s="30">
        <f>M157+M158+M159+M163+M164+M165+M160</f>
        <v>0</v>
      </c>
      <c r="N156" s="30">
        <f>N157+N158+N159+N163+N164+N165+N160</f>
        <v>0</v>
      </c>
      <c r="O156" s="30">
        <f>O157+O158+O159+O163+O164+O165+O160</f>
        <v>0</v>
      </c>
      <c r="P156" s="30">
        <f t="shared" si="12"/>
        <v>5265327616</v>
      </c>
      <c r="Q156" s="35"/>
      <c r="R156" s="35"/>
      <c r="S156" s="35"/>
      <c r="T156" s="7"/>
      <c r="U156" s="7"/>
      <c r="V156" s="7"/>
      <c r="X156" s="7"/>
      <c r="Y156" s="132"/>
      <c r="Z156" s="140"/>
    </row>
    <row r="157" spans="1:26" ht="160.15" customHeight="1" x14ac:dyDescent="0.2">
      <c r="A157" s="6" t="s">
        <v>205</v>
      </c>
      <c r="B157" s="6" t="s">
        <v>166</v>
      </c>
      <c r="C157" s="6" t="s">
        <v>62</v>
      </c>
      <c r="D157" s="25" t="s">
        <v>165</v>
      </c>
      <c r="E157" s="21">
        <f t="shared" si="31"/>
        <v>2986220400</v>
      </c>
      <c r="F157" s="21">
        <v>2986220400</v>
      </c>
      <c r="G157" s="21"/>
      <c r="H157" s="21"/>
      <c r="I157" s="13"/>
      <c r="J157" s="21">
        <f t="shared" si="19"/>
        <v>0</v>
      </c>
      <c r="K157" s="21"/>
      <c r="L157" s="21"/>
      <c r="M157" s="21"/>
      <c r="N157" s="32">
        <f t="shared" si="32"/>
        <v>0</v>
      </c>
      <c r="O157" s="21"/>
      <c r="P157" s="30">
        <f t="shared" si="12"/>
        <v>2986220400</v>
      </c>
      <c r="Q157" s="35"/>
      <c r="R157" s="35" t="e">
        <f>#REF!-Q157</f>
        <v>#REF!</v>
      </c>
      <c r="S157" s="35"/>
      <c r="T157" s="4">
        <v>672191495</v>
      </c>
      <c r="U157" s="7">
        <f t="shared" si="13"/>
        <v>2314028905</v>
      </c>
      <c r="V157" s="7"/>
      <c r="X157" s="7"/>
    </row>
    <row r="158" spans="1:26" ht="93" customHeight="1" x14ac:dyDescent="0.2">
      <c r="A158" s="6" t="s">
        <v>206</v>
      </c>
      <c r="B158" s="6" t="s">
        <v>168</v>
      </c>
      <c r="C158" s="6" t="s">
        <v>62</v>
      </c>
      <c r="D158" s="25" t="s">
        <v>167</v>
      </c>
      <c r="E158" s="21">
        <f t="shared" si="31"/>
        <v>104707000</v>
      </c>
      <c r="F158" s="21">
        <v>104707000</v>
      </c>
      <c r="G158" s="21"/>
      <c r="H158" s="21"/>
      <c r="I158" s="13"/>
      <c r="J158" s="21">
        <f t="shared" si="19"/>
        <v>0</v>
      </c>
      <c r="K158" s="21"/>
      <c r="L158" s="21"/>
      <c r="M158" s="21"/>
      <c r="N158" s="32">
        <f t="shared" si="32"/>
        <v>0</v>
      </c>
      <c r="O158" s="21"/>
      <c r="P158" s="30">
        <f t="shared" si="12"/>
        <v>104707000</v>
      </c>
      <c r="Q158" s="35"/>
      <c r="R158" s="35" t="e">
        <f>#REF!-Q158</f>
        <v>#REF!</v>
      </c>
      <c r="S158" s="35"/>
      <c r="T158" s="4"/>
      <c r="U158" s="7">
        <f t="shared" si="13"/>
        <v>104707000</v>
      </c>
      <c r="V158" s="7"/>
      <c r="X158" s="7"/>
    </row>
    <row r="159" spans="1:26" ht="260.45" customHeight="1" x14ac:dyDescent="0.2">
      <c r="A159" s="6" t="s">
        <v>204</v>
      </c>
      <c r="B159" s="6" t="s">
        <v>169</v>
      </c>
      <c r="C159" s="6" t="s">
        <v>62</v>
      </c>
      <c r="D159" s="27" t="s">
        <v>290</v>
      </c>
      <c r="E159" s="21">
        <f t="shared" si="31"/>
        <v>2113819200</v>
      </c>
      <c r="F159" s="21">
        <f>2138324200-24505000</f>
        <v>2113819200</v>
      </c>
      <c r="G159" s="21"/>
      <c r="H159" s="21"/>
      <c r="I159" s="13"/>
      <c r="J159" s="21">
        <f>K159+N159</f>
        <v>0</v>
      </c>
      <c r="K159" s="21"/>
      <c r="L159" s="21"/>
      <c r="M159" s="21"/>
      <c r="N159" s="32">
        <f>O159</f>
        <v>0</v>
      </c>
      <c r="O159" s="21"/>
      <c r="P159" s="30">
        <f>E159+J159</f>
        <v>2113819200</v>
      </c>
      <c r="Q159" s="35"/>
      <c r="R159" s="35">
        <f>P163-Q159</f>
        <v>22229600</v>
      </c>
      <c r="S159" s="35"/>
      <c r="T159" s="4">
        <v>17312614</v>
      </c>
      <c r="U159" s="7">
        <f>P159-T159</f>
        <v>2096506586</v>
      </c>
      <c r="V159" s="7"/>
      <c r="X159" s="7"/>
    </row>
    <row r="160" spans="1:26" s="118" customFormat="1" ht="98.45" customHeight="1" x14ac:dyDescent="0.2">
      <c r="A160" s="6" t="s">
        <v>426</v>
      </c>
      <c r="B160" s="6" t="s">
        <v>427</v>
      </c>
      <c r="C160" s="6"/>
      <c r="D160" s="27" t="s">
        <v>428</v>
      </c>
      <c r="E160" s="21">
        <f t="shared" si="31"/>
        <v>18888916</v>
      </c>
      <c r="F160" s="21">
        <f>F161+F162</f>
        <v>0</v>
      </c>
      <c r="G160" s="21">
        <f>G161+G162</f>
        <v>0</v>
      </c>
      <c r="H160" s="21">
        <f>H161+H162</f>
        <v>0</v>
      </c>
      <c r="I160" s="21">
        <f>I161+I162</f>
        <v>18888916</v>
      </c>
      <c r="J160" s="21">
        <f>K160+N160</f>
        <v>0</v>
      </c>
      <c r="K160" s="21">
        <f>K161+K162</f>
        <v>0</v>
      </c>
      <c r="L160" s="21">
        <f>L161+L162</f>
        <v>0</v>
      </c>
      <c r="M160" s="21">
        <f>M161+M162</f>
        <v>0</v>
      </c>
      <c r="N160" s="21">
        <f>N161+N162</f>
        <v>0</v>
      </c>
      <c r="O160" s="21">
        <f>O161+O162</f>
        <v>0</v>
      </c>
      <c r="P160" s="30">
        <f>E160+J160</f>
        <v>18888916</v>
      </c>
      <c r="Q160" s="35"/>
      <c r="R160" s="35"/>
      <c r="S160" s="35"/>
      <c r="T160" s="4"/>
      <c r="U160" s="7"/>
      <c r="V160" s="7"/>
      <c r="W160" s="5"/>
      <c r="X160" s="7"/>
      <c r="Y160" s="123"/>
      <c r="Z160" s="125"/>
    </row>
    <row r="161" spans="1:26" s="122" customFormat="1" ht="284.45" customHeight="1" x14ac:dyDescent="0.2">
      <c r="A161" s="38" t="s">
        <v>422</v>
      </c>
      <c r="B161" s="38" t="s">
        <v>423</v>
      </c>
      <c r="C161" s="38" t="s">
        <v>62</v>
      </c>
      <c r="D161" s="39" t="s">
        <v>435</v>
      </c>
      <c r="E161" s="40">
        <f t="shared" ref="E161:E173" si="33">F161+I161</f>
        <v>15313098</v>
      </c>
      <c r="F161" s="40"/>
      <c r="G161" s="40"/>
      <c r="H161" s="40"/>
      <c r="I161" s="40">
        <v>15313098</v>
      </c>
      <c r="J161" s="40">
        <f>K161+N161</f>
        <v>0</v>
      </c>
      <c r="K161" s="40"/>
      <c r="L161" s="40"/>
      <c r="M161" s="40"/>
      <c r="N161" s="41">
        <f>O161</f>
        <v>0</v>
      </c>
      <c r="O161" s="40"/>
      <c r="P161" s="48">
        <f>E161+J161</f>
        <v>15313098</v>
      </c>
      <c r="Q161" s="43"/>
      <c r="R161" s="43"/>
      <c r="S161" s="43"/>
      <c r="T161" s="51"/>
      <c r="U161" s="44"/>
      <c r="V161" s="44"/>
      <c r="W161" s="45"/>
      <c r="X161" s="44"/>
      <c r="Y161" s="133"/>
      <c r="Z161" s="143"/>
    </row>
    <row r="162" spans="1:26" s="122" customFormat="1" ht="300.60000000000002" customHeight="1" x14ac:dyDescent="0.2">
      <c r="A162" s="38" t="s">
        <v>424</v>
      </c>
      <c r="B162" s="38" t="s">
        <v>425</v>
      </c>
      <c r="C162" s="38" t="s">
        <v>62</v>
      </c>
      <c r="D162" s="39" t="s">
        <v>436</v>
      </c>
      <c r="E162" s="40">
        <f t="shared" si="33"/>
        <v>3575818</v>
      </c>
      <c r="F162" s="40"/>
      <c r="G162" s="40"/>
      <c r="H162" s="40"/>
      <c r="I162" s="46">
        <v>3575818</v>
      </c>
      <c r="J162" s="40">
        <f>K162+N162</f>
        <v>0</v>
      </c>
      <c r="K162" s="40"/>
      <c r="L162" s="40"/>
      <c r="M162" s="40"/>
      <c r="N162" s="41">
        <f>O162</f>
        <v>0</v>
      </c>
      <c r="O162" s="40"/>
      <c r="P162" s="48">
        <f>E162+J162</f>
        <v>3575818</v>
      </c>
      <c r="Q162" s="43"/>
      <c r="R162" s="43"/>
      <c r="S162" s="43"/>
      <c r="T162" s="51"/>
      <c r="U162" s="44"/>
      <c r="V162" s="44"/>
      <c r="W162" s="45"/>
      <c r="X162" s="44"/>
      <c r="Y162" s="133"/>
      <c r="Z162" s="143"/>
    </row>
    <row r="163" spans="1:26" s="8" customFormat="1" ht="206.45" customHeight="1" x14ac:dyDescent="0.2">
      <c r="A163" s="6" t="s">
        <v>207</v>
      </c>
      <c r="B163" s="6" t="s">
        <v>171</v>
      </c>
      <c r="C163" s="6" t="s">
        <v>62</v>
      </c>
      <c r="D163" s="27" t="s">
        <v>170</v>
      </c>
      <c r="E163" s="21">
        <f t="shared" si="33"/>
        <v>22229600</v>
      </c>
      <c r="F163" s="21">
        <v>22229600</v>
      </c>
      <c r="G163" s="21"/>
      <c r="H163" s="21"/>
      <c r="I163" s="13"/>
      <c r="J163" s="21">
        <f t="shared" si="19"/>
        <v>0</v>
      </c>
      <c r="K163" s="21"/>
      <c r="L163" s="21"/>
      <c r="M163" s="21"/>
      <c r="N163" s="32">
        <f t="shared" si="32"/>
        <v>0</v>
      </c>
      <c r="O163" s="21"/>
      <c r="P163" s="30">
        <f t="shared" si="12"/>
        <v>22229600</v>
      </c>
      <c r="Q163" s="35"/>
      <c r="R163" s="35" t="e">
        <f>#REF!-Q163</f>
        <v>#REF!</v>
      </c>
      <c r="S163" s="35"/>
      <c r="T163" s="4"/>
      <c r="U163" s="7">
        <f t="shared" si="13"/>
        <v>22229600</v>
      </c>
      <c r="V163" s="7"/>
      <c r="X163" s="7"/>
      <c r="Y163" s="132"/>
      <c r="Z163" s="140"/>
    </row>
    <row r="164" spans="1:26" ht="103.15" customHeight="1" x14ac:dyDescent="0.2">
      <c r="A164" s="2">
        <v>3719260</v>
      </c>
      <c r="B164" s="59" t="s">
        <v>173</v>
      </c>
      <c r="C164" s="59" t="s">
        <v>62</v>
      </c>
      <c r="D164" s="84" t="s">
        <v>172</v>
      </c>
      <c r="E164" s="21">
        <f t="shared" si="33"/>
        <v>4654400</v>
      </c>
      <c r="F164" s="60">
        <v>465400</v>
      </c>
      <c r="G164" s="60"/>
      <c r="H164" s="60"/>
      <c r="I164" s="60">
        <v>4189000</v>
      </c>
      <c r="J164" s="21">
        <f t="shared" si="19"/>
        <v>0</v>
      </c>
      <c r="K164" s="60"/>
      <c r="L164" s="61"/>
      <c r="M164" s="60"/>
      <c r="N164" s="32">
        <f t="shared" si="32"/>
        <v>0</v>
      </c>
      <c r="O164" s="60"/>
      <c r="P164" s="30">
        <f t="shared" ref="P164:P199" si="34">E164+J164</f>
        <v>4654400</v>
      </c>
      <c r="Q164" s="34"/>
      <c r="R164" s="35">
        <f>P201-Q164</f>
        <v>9273473837.5200005</v>
      </c>
      <c r="S164" s="34"/>
      <c r="U164" s="7">
        <f>P165-T164</f>
        <v>14808100</v>
      </c>
    </row>
    <row r="165" spans="1:26" ht="117" customHeight="1" x14ac:dyDescent="0.2">
      <c r="A165" s="2">
        <v>3719270</v>
      </c>
      <c r="B165" s="59" t="s">
        <v>175</v>
      </c>
      <c r="C165" s="59" t="s">
        <v>62</v>
      </c>
      <c r="D165" s="72" t="s">
        <v>174</v>
      </c>
      <c r="E165" s="21">
        <f t="shared" si="33"/>
        <v>14808100</v>
      </c>
      <c r="F165" s="60"/>
      <c r="G165" s="60"/>
      <c r="H165" s="60"/>
      <c r="I165" s="60">
        <v>14808100</v>
      </c>
      <c r="J165" s="21">
        <f t="shared" si="19"/>
        <v>0</v>
      </c>
      <c r="K165" s="60"/>
      <c r="L165" s="61"/>
      <c r="M165" s="60"/>
      <c r="N165" s="32">
        <f t="shared" si="32"/>
        <v>0</v>
      </c>
      <c r="O165" s="60"/>
      <c r="P165" s="30">
        <f t="shared" si="34"/>
        <v>14808100</v>
      </c>
      <c r="Q165" s="34"/>
      <c r="R165" s="35" t="e">
        <f>#REF!-Q165</f>
        <v>#REF!</v>
      </c>
      <c r="S165" s="34"/>
      <c r="U165" s="7" t="e">
        <f>#REF!-T165</f>
        <v>#REF!</v>
      </c>
    </row>
    <row r="166" spans="1:26" s="8" customFormat="1" ht="59.45" customHeight="1" x14ac:dyDescent="0.2">
      <c r="A166" s="1">
        <v>3719300</v>
      </c>
      <c r="B166" s="87" t="s">
        <v>383</v>
      </c>
      <c r="C166" s="87"/>
      <c r="D166" s="88" t="s">
        <v>382</v>
      </c>
      <c r="E166" s="21">
        <f t="shared" si="33"/>
        <v>51311149</v>
      </c>
      <c r="F166" s="61">
        <f>SUM(F167:F173)+F175+F174+F176</f>
        <v>11132326</v>
      </c>
      <c r="G166" s="61">
        <f>SUM(G167:G173)+G175+G174+G176</f>
        <v>0</v>
      </c>
      <c r="H166" s="61">
        <f>SUM(H167:H173)+H175+H174+H176</f>
        <v>0</v>
      </c>
      <c r="I166" s="61">
        <f>SUM(I167:I173)+I175+I174+I176</f>
        <v>40178823</v>
      </c>
      <c r="J166" s="30">
        <f t="shared" si="19"/>
        <v>57499011</v>
      </c>
      <c r="K166" s="61">
        <f>SUM(K167:K173)+K175+K174+K176</f>
        <v>0</v>
      </c>
      <c r="L166" s="61">
        <f>SUM(L167:L173)+L175+L174+L176</f>
        <v>0</v>
      </c>
      <c r="M166" s="61">
        <f>SUM(M167:M173)+M175+M174+M176</f>
        <v>0</v>
      </c>
      <c r="N166" s="61">
        <f>SUM(N167:N173)+N175+N174+N176</f>
        <v>57499011</v>
      </c>
      <c r="O166" s="61">
        <f>SUM(O167:O173)+O175+O174+O176</f>
        <v>57499011</v>
      </c>
      <c r="P166" s="30">
        <f t="shared" si="34"/>
        <v>108810160</v>
      </c>
      <c r="Q166" s="68"/>
      <c r="R166" s="35"/>
      <c r="S166" s="68"/>
      <c r="U166" s="7"/>
      <c r="Y166" s="132"/>
      <c r="Z166" s="140"/>
    </row>
    <row r="167" spans="1:26" s="8" customFormat="1" ht="73.150000000000006" customHeight="1" x14ac:dyDescent="0.2">
      <c r="A167" s="2">
        <v>3719320</v>
      </c>
      <c r="B167" s="59" t="s">
        <v>384</v>
      </c>
      <c r="C167" s="59" t="s">
        <v>62</v>
      </c>
      <c r="D167" s="72" t="s">
        <v>396</v>
      </c>
      <c r="E167" s="21">
        <f t="shared" si="33"/>
        <v>0</v>
      </c>
      <c r="F167" s="61"/>
      <c r="G167" s="61"/>
      <c r="H167" s="61"/>
      <c r="I167" s="61"/>
      <c r="J167" s="21">
        <f t="shared" si="19"/>
        <v>27648565</v>
      </c>
      <c r="K167" s="61"/>
      <c r="L167" s="61"/>
      <c r="M167" s="61"/>
      <c r="N167" s="32">
        <f t="shared" si="32"/>
        <v>27648565</v>
      </c>
      <c r="O167" s="60">
        <f>13788565+1260000+12600000</f>
        <v>27648565</v>
      </c>
      <c r="P167" s="30">
        <f t="shared" si="34"/>
        <v>27648565</v>
      </c>
      <c r="Q167" s="68"/>
      <c r="R167" s="35"/>
      <c r="S167" s="68"/>
      <c r="U167" s="7"/>
      <c r="Y167" s="132"/>
      <c r="Z167" s="140"/>
    </row>
    <row r="168" spans="1:26" s="8" customFormat="1" ht="137.44999999999999" customHeight="1" x14ac:dyDescent="0.2">
      <c r="A168" s="2">
        <v>3719320</v>
      </c>
      <c r="B168" s="59" t="s">
        <v>384</v>
      </c>
      <c r="C168" s="59" t="s">
        <v>62</v>
      </c>
      <c r="D168" s="72" t="s">
        <v>397</v>
      </c>
      <c r="E168" s="21">
        <f t="shared" si="33"/>
        <v>699000</v>
      </c>
      <c r="F168" s="60">
        <v>699000</v>
      </c>
      <c r="G168" s="61"/>
      <c r="H168" s="61"/>
      <c r="I168" s="61"/>
      <c r="J168" s="21">
        <f t="shared" si="19"/>
        <v>0</v>
      </c>
      <c r="K168" s="61"/>
      <c r="L168" s="61"/>
      <c r="M168" s="61"/>
      <c r="N168" s="32">
        <f t="shared" si="32"/>
        <v>0</v>
      </c>
      <c r="O168" s="61"/>
      <c r="P168" s="30">
        <f t="shared" si="34"/>
        <v>699000</v>
      </c>
      <c r="Q168" s="68"/>
      <c r="R168" s="35"/>
      <c r="S168" s="68"/>
      <c r="U168" s="7"/>
      <c r="Y168" s="132"/>
      <c r="Z168" s="140"/>
    </row>
    <row r="169" spans="1:26" s="8" customFormat="1" ht="129.6" customHeight="1" x14ac:dyDescent="0.2">
      <c r="A169" s="2">
        <v>3719320</v>
      </c>
      <c r="B169" s="59" t="s">
        <v>384</v>
      </c>
      <c r="C169" s="59" t="s">
        <v>62</v>
      </c>
      <c r="D169" s="72" t="s">
        <v>398</v>
      </c>
      <c r="E169" s="21">
        <f t="shared" si="33"/>
        <v>0</v>
      </c>
      <c r="F169" s="61"/>
      <c r="G169" s="61"/>
      <c r="H169" s="61"/>
      <c r="I169" s="61"/>
      <c r="J169" s="21">
        <f t="shared" si="19"/>
        <v>10890446</v>
      </c>
      <c r="K169" s="61"/>
      <c r="L169" s="61"/>
      <c r="M169" s="61"/>
      <c r="N169" s="32">
        <f t="shared" si="32"/>
        <v>10890446</v>
      </c>
      <c r="O169" s="60">
        <v>10890446</v>
      </c>
      <c r="P169" s="30">
        <f t="shared" si="34"/>
        <v>10890446</v>
      </c>
      <c r="Q169" s="68"/>
      <c r="R169" s="35"/>
      <c r="S169" s="68"/>
      <c r="U169" s="7"/>
      <c r="Y169" s="132"/>
      <c r="Z169" s="140"/>
    </row>
    <row r="170" spans="1:26" s="8" customFormat="1" ht="169.9" customHeight="1" x14ac:dyDescent="0.2">
      <c r="A170" s="2">
        <v>3719320</v>
      </c>
      <c r="B170" s="59" t="s">
        <v>384</v>
      </c>
      <c r="C170" s="59" t="s">
        <v>62</v>
      </c>
      <c r="D170" s="72" t="s">
        <v>399</v>
      </c>
      <c r="E170" s="21">
        <f t="shared" si="33"/>
        <v>0</v>
      </c>
      <c r="F170" s="61"/>
      <c r="G170" s="61"/>
      <c r="H170" s="61"/>
      <c r="I170" s="61"/>
      <c r="J170" s="21">
        <f t="shared" si="19"/>
        <v>14900000</v>
      </c>
      <c r="K170" s="61"/>
      <c r="L170" s="61"/>
      <c r="M170" s="61"/>
      <c r="N170" s="32">
        <f t="shared" si="32"/>
        <v>14900000</v>
      </c>
      <c r="O170" s="60">
        <f>14300000+600000</f>
        <v>14900000</v>
      </c>
      <c r="P170" s="30">
        <f t="shared" si="34"/>
        <v>14900000</v>
      </c>
      <c r="Q170" s="68"/>
      <c r="R170" s="35"/>
      <c r="S170" s="68"/>
      <c r="U170" s="7"/>
      <c r="Y170" s="132"/>
      <c r="Z170" s="140"/>
    </row>
    <row r="171" spans="1:26" s="8" customFormat="1" ht="165" customHeight="1" x14ac:dyDescent="0.2">
      <c r="A171" s="2">
        <v>3719320</v>
      </c>
      <c r="B171" s="59" t="s">
        <v>384</v>
      </c>
      <c r="C171" s="59" t="s">
        <v>62</v>
      </c>
      <c r="D171" s="72" t="s">
        <v>399</v>
      </c>
      <c r="E171" s="21">
        <f t="shared" si="33"/>
        <v>0</v>
      </c>
      <c r="F171" s="61"/>
      <c r="G171" s="61"/>
      <c r="H171" s="61"/>
      <c r="I171" s="61"/>
      <c r="J171" s="21">
        <f t="shared" si="19"/>
        <v>4000000</v>
      </c>
      <c r="K171" s="61"/>
      <c r="L171" s="61"/>
      <c r="M171" s="61"/>
      <c r="N171" s="32">
        <f t="shared" si="32"/>
        <v>4000000</v>
      </c>
      <c r="O171" s="60">
        <v>4000000</v>
      </c>
      <c r="P171" s="30">
        <f t="shared" si="34"/>
        <v>4000000</v>
      </c>
      <c r="Q171" s="68"/>
      <c r="R171" s="35"/>
      <c r="S171" s="68"/>
      <c r="U171" s="7"/>
      <c r="Y171" s="132"/>
      <c r="Z171" s="140"/>
    </row>
    <row r="172" spans="1:26" s="8" customFormat="1" ht="59.45" customHeight="1" x14ac:dyDescent="0.2">
      <c r="A172" s="2">
        <v>3719320</v>
      </c>
      <c r="B172" s="59" t="s">
        <v>384</v>
      </c>
      <c r="C172" s="59" t="s">
        <v>62</v>
      </c>
      <c r="D172" s="72" t="s">
        <v>385</v>
      </c>
      <c r="E172" s="21">
        <f t="shared" si="33"/>
        <v>0</v>
      </c>
      <c r="F172" s="61"/>
      <c r="G172" s="61"/>
      <c r="H172" s="61"/>
      <c r="I172" s="61"/>
      <c r="J172" s="21">
        <f t="shared" si="19"/>
        <v>0</v>
      </c>
      <c r="K172" s="61"/>
      <c r="L172" s="61"/>
      <c r="M172" s="61"/>
      <c r="N172" s="32">
        <f t="shared" si="32"/>
        <v>0</v>
      </c>
      <c r="O172" s="61"/>
      <c r="P172" s="30">
        <f t="shared" si="34"/>
        <v>0</v>
      </c>
      <c r="Q172" s="68"/>
      <c r="R172" s="35"/>
      <c r="S172" s="68"/>
      <c r="U172" s="7"/>
      <c r="Y172" s="132"/>
      <c r="Z172" s="140"/>
    </row>
    <row r="173" spans="1:26" ht="170.45" customHeight="1" x14ac:dyDescent="0.2">
      <c r="A173" s="2">
        <v>3719320</v>
      </c>
      <c r="B173" s="59" t="s">
        <v>384</v>
      </c>
      <c r="C173" s="59" t="s">
        <v>62</v>
      </c>
      <c r="D173" s="72" t="s">
        <v>400</v>
      </c>
      <c r="E173" s="21">
        <f t="shared" si="33"/>
        <v>0</v>
      </c>
      <c r="F173" s="60"/>
      <c r="G173" s="60"/>
      <c r="H173" s="60"/>
      <c r="I173" s="60"/>
      <c r="J173" s="21">
        <f t="shared" si="19"/>
        <v>60000</v>
      </c>
      <c r="K173" s="60"/>
      <c r="L173" s="61"/>
      <c r="M173" s="60"/>
      <c r="N173" s="32">
        <f t="shared" si="32"/>
        <v>60000</v>
      </c>
      <c r="O173" s="60">
        <f>60000</f>
        <v>60000</v>
      </c>
      <c r="P173" s="30">
        <f t="shared" si="34"/>
        <v>60000</v>
      </c>
      <c r="Q173" s="34"/>
      <c r="R173" s="35"/>
      <c r="S173" s="34"/>
      <c r="U173" s="7"/>
    </row>
    <row r="174" spans="1:26" ht="96.6" customHeight="1" x14ac:dyDescent="0.2">
      <c r="A174" s="2">
        <v>3719330</v>
      </c>
      <c r="B174" s="59" t="s">
        <v>386</v>
      </c>
      <c r="C174" s="59" t="s">
        <v>62</v>
      </c>
      <c r="D174" s="72" t="s">
        <v>402</v>
      </c>
      <c r="E174" s="21">
        <f t="shared" ref="E174:E200" si="35">F174+I174</f>
        <v>8903300</v>
      </c>
      <c r="F174" s="60">
        <v>8903300</v>
      </c>
      <c r="G174" s="60"/>
      <c r="H174" s="60"/>
      <c r="I174" s="60"/>
      <c r="J174" s="21">
        <f t="shared" si="19"/>
        <v>0</v>
      </c>
      <c r="K174" s="60"/>
      <c r="L174" s="61"/>
      <c r="M174" s="60"/>
      <c r="N174" s="32">
        <f t="shared" si="32"/>
        <v>0</v>
      </c>
      <c r="O174" s="60"/>
      <c r="P174" s="30">
        <f t="shared" si="34"/>
        <v>8903300</v>
      </c>
      <c r="Q174" s="34"/>
      <c r="R174" s="35"/>
      <c r="S174" s="34"/>
      <c r="U174" s="7"/>
    </row>
    <row r="175" spans="1:26" ht="102.6" customHeight="1" x14ac:dyDescent="0.2">
      <c r="A175" s="2">
        <v>3719330</v>
      </c>
      <c r="B175" s="59" t="s">
        <v>386</v>
      </c>
      <c r="C175" s="59" t="s">
        <v>62</v>
      </c>
      <c r="D175" s="72" t="s">
        <v>403</v>
      </c>
      <c r="E175" s="21">
        <f t="shared" si="35"/>
        <v>3274600</v>
      </c>
      <c r="F175" s="60"/>
      <c r="G175" s="60"/>
      <c r="H175" s="60"/>
      <c r="I175" s="60">
        <v>3274600</v>
      </c>
      <c r="J175" s="21">
        <f t="shared" si="19"/>
        <v>0</v>
      </c>
      <c r="K175" s="60"/>
      <c r="L175" s="61"/>
      <c r="M175" s="60"/>
      <c r="N175" s="32">
        <f t="shared" si="32"/>
        <v>0</v>
      </c>
      <c r="O175" s="60"/>
      <c r="P175" s="30">
        <f t="shared" si="34"/>
        <v>3274600</v>
      </c>
      <c r="Q175" s="34"/>
      <c r="R175" s="35"/>
      <c r="S175" s="34"/>
      <c r="U175" s="7"/>
    </row>
    <row r="176" spans="1:26" s="118" customFormat="1" ht="102.6" customHeight="1" x14ac:dyDescent="0.2">
      <c r="A176" s="2">
        <v>3719350</v>
      </c>
      <c r="B176" s="59" t="s">
        <v>418</v>
      </c>
      <c r="C176" s="59" t="s">
        <v>62</v>
      </c>
      <c r="D176" s="72" t="s">
        <v>417</v>
      </c>
      <c r="E176" s="21">
        <f t="shared" si="35"/>
        <v>38434249</v>
      </c>
      <c r="F176" s="60">
        <v>1530026</v>
      </c>
      <c r="G176" s="60"/>
      <c r="H176" s="60"/>
      <c r="I176" s="60">
        <v>36904223</v>
      </c>
      <c r="J176" s="21">
        <f t="shared" si="19"/>
        <v>0</v>
      </c>
      <c r="K176" s="60"/>
      <c r="L176" s="61"/>
      <c r="M176" s="60"/>
      <c r="N176" s="149"/>
      <c r="O176" s="60"/>
      <c r="P176" s="30">
        <f t="shared" si="34"/>
        <v>38434249</v>
      </c>
      <c r="Q176" s="34"/>
      <c r="R176" s="35"/>
      <c r="S176" s="34"/>
      <c r="T176" s="5"/>
      <c r="U176" s="7"/>
      <c r="V176" s="5"/>
      <c r="W176" s="5"/>
      <c r="X176" s="5"/>
      <c r="Y176" s="123"/>
      <c r="Z176" s="125"/>
    </row>
    <row r="177" spans="1:26" s="8" customFormat="1" ht="76.150000000000006" customHeight="1" x14ac:dyDescent="0.2">
      <c r="A177" s="3" t="s">
        <v>296</v>
      </c>
      <c r="B177" s="87" t="s">
        <v>297</v>
      </c>
      <c r="C177" s="87"/>
      <c r="D177" s="88" t="s">
        <v>295</v>
      </c>
      <c r="E177" s="30">
        <f t="shared" si="35"/>
        <v>59597600</v>
      </c>
      <c r="F177" s="61">
        <f>F178+F179</f>
        <v>59597600</v>
      </c>
      <c r="G177" s="61">
        <f>G178+G179</f>
        <v>0</v>
      </c>
      <c r="H177" s="61">
        <f>H178+H179</f>
        <v>0</v>
      </c>
      <c r="I177" s="61">
        <f>I178+I179</f>
        <v>0</v>
      </c>
      <c r="J177" s="30">
        <f t="shared" si="19"/>
        <v>0</v>
      </c>
      <c r="K177" s="61">
        <f>K178+K179</f>
        <v>0</v>
      </c>
      <c r="L177" s="61">
        <f>L178+L179</f>
        <v>0</v>
      </c>
      <c r="M177" s="61">
        <f>M178+M179</f>
        <v>0</v>
      </c>
      <c r="N177" s="61">
        <f>N178+N179</f>
        <v>0</v>
      </c>
      <c r="O177" s="61">
        <f>O178+O179</f>
        <v>0</v>
      </c>
      <c r="P177" s="30">
        <f t="shared" si="34"/>
        <v>59597600</v>
      </c>
      <c r="Q177" s="68"/>
      <c r="R177" s="35"/>
      <c r="S177" s="68"/>
      <c r="U177" s="7"/>
      <c r="Y177" s="132"/>
      <c r="Z177" s="140"/>
    </row>
    <row r="178" spans="1:26" ht="85.9" customHeight="1" x14ac:dyDescent="0.2">
      <c r="A178" s="6" t="s">
        <v>270</v>
      </c>
      <c r="B178" s="6" t="s">
        <v>271</v>
      </c>
      <c r="C178" s="6" t="s">
        <v>62</v>
      </c>
      <c r="D178" s="27" t="s">
        <v>272</v>
      </c>
      <c r="E178" s="21">
        <f t="shared" si="35"/>
        <v>26476000</v>
      </c>
      <c r="F178" s="21">
        <v>26476000</v>
      </c>
      <c r="G178" s="21"/>
      <c r="H178" s="21"/>
      <c r="I178" s="13"/>
      <c r="J178" s="21">
        <f t="shared" si="19"/>
        <v>0</v>
      </c>
      <c r="K178" s="21"/>
      <c r="L178" s="21"/>
      <c r="M178" s="21"/>
      <c r="N178" s="32">
        <f t="shared" si="32"/>
        <v>0</v>
      </c>
      <c r="O178" s="21"/>
      <c r="P178" s="30">
        <f t="shared" si="34"/>
        <v>26476000</v>
      </c>
      <c r="Q178" s="34"/>
      <c r="R178" s="35"/>
      <c r="S178" s="34"/>
      <c r="U178" s="7">
        <f>P179-T178</f>
        <v>33121600</v>
      </c>
    </row>
    <row r="179" spans="1:26" ht="77.45" customHeight="1" x14ac:dyDescent="0.2">
      <c r="A179" s="6" t="s">
        <v>268</v>
      </c>
      <c r="B179" s="6" t="s">
        <v>269</v>
      </c>
      <c r="C179" s="6" t="s">
        <v>62</v>
      </c>
      <c r="D179" s="27" t="s">
        <v>267</v>
      </c>
      <c r="E179" s="21">
        <f t="shared" si="35"/>
        <v>33121600</v>
      </c>
      <c r="F179" s="21">
        <f>16560800+16560800</f>
        <v>33121600</v>
      </c>
      <c r="G179" s="21"/>
      <c r="H179" s="21"/>
      <c r="I179" s="13"/>
      <c r="J179" s="21">
        <f t="shared" si="19"/>
        <v>0</v>
      </c>
      <c r="K179" s="21"/>
      <c r="L179" s="21"/>
      <c r="M179" s="21"/>
      <c r="N179" s="32">
        <f t="shared" si="32"/>
        <v>0</v>
      </c>
      <c r="O179" s="21"/>
      <c r="P179" s="30">
        <f t="shared" si="34"/>
        <v>33121600</v>
      </c>
      <c r="Q179" s="34"/>
      <c r="R179" s="35"/>
      <c r="S179" s="34"/>
      <c r="T179" s="5">
        <v>26711489</v>
      </c>
      <c r="U179" s="7">
        <f>P188-T179</f>
        <v>77868397</v>
      </c>
    </row>
    <row r="180" spans="1:26" s="8" customFormat="1" ht="85.9" customHeight="1" x14ac:dyDescent="0.2">
      <c r="A180" s="3" t="s">
        <v>355</v>
      </c>
      <c r="B180" s="3" t="s">
        <v>356</v>
      </c>
      <c r="C180" s="3"/>
      <c r="D180" s="29" t="s">
        <v>357</v>
      </c>
      <c r="E180" s="30">
        <f t="shared" si="35"/>
        <v>3396990</v>
      </c>
      <c r="F180" s="30">
        <f>F181</f>
        <v>0</v>
      </c>
      <c r="G180" s="30">
        <f>G181</f>
        <v>0</v>
      </c>
      <c r="H180" s="30">
        <f>H181</f>
        <v>0</v>
      </c>
      <c r="I180" s="30">
        <f>I181</f>
        <v>3396990</v>
      </c>
      <c r="J180" s="30">
        <f>K180+N180</f>
        <v>0</v>
      </c>
      <c r="K180" s="30">
        <f>K181</f>
        <v>0</v>
      </c>
      <c r="L180" s="30">
        <f>L181</f>
        <v>0</v>
      </c>
      <c r="M180" s="30">
        <f>M181</f>
        <v>0</v>
      </c>
      <c r="N180" s="30">
        <f>N181</f>
        <v>0</v>
      </c>
      <c r="O180" s="30">
        <f>O181</f>
        <v>0</v>
      </c>
      <c r="P180" s="30">
        <f>E180+J180</f>
        <v>3396990</v>
      </c>
      <c r="Q180" s="68"/>
      <c r="R180" s="35"/>
      <c r="S180" s="68"/>
      <c r="U180" s="7"/>
      <c r="Y180" s="132"/>
      <c r="Z180" s="140"/>
    </row>
    <row r="181" spans="1:26" ht="105" customHeight="1" x14ac:dyDescent="0.2">
      <c r="A181" s="6" t="s">
        <v>348</v>
      </c>
      <c r="B181" s="6" t="s">
        <v>349</v>
      </c>
      <c r="C181" s="6" t="s">
        <v>62</v>
      </c>
      <c r="D181" s="27" t="s">
        <v>354</v>
      </c>
      <c r="E181" s="21">
        <f t="shared" si="35"/>
        <v>3396990</v>
      </c>
      <c r="F181" s="21"/>
      <c r="G181" s="21"/>
      <c r="H181" s="21"/>
      <c r="I181" s="21">
        <v>3396990</v>
      </c>
      <c r="J181" s="21">
        <f>K181+N181</f>
        <v>0</v>
      </c>
      <c r="K181" s="21"/>
      <c r="L181" s="21"/>
      <c r="M181" s="21"/>
      <c r="N181" s="21"/>
      <c r="O181" s="21"/>
      <c r="P181" s="30">
        <f>E181+J181</f>
        <v>3396990</v>
      </c>
      <c r="Q181" s="34"/>
      <c r="R181" s="47"/>
      <c r="S181" s="34"/>
      <c r="U181" s="4"/>
    </row>
    <row r="182" spans="1:26" s="8" customFormat="1" ht="69.599999999999994" customHeight="1" x14ac:dyDescent="0.2">
      <c r="A182" s="3" t="s">
        <v>412</v>
      </c>
      <c r="B182" s="3" t="s">
        <v>411</v>
      </c>
      <c r="C182" s="3"/>
      <c r="D182" s="29" t="s">
        <v>410</v>
      </c>
      <c r="E182" s="30">
        <f t="shared" si="35"/>
        <v>943400</v>
      </c>
      <c r="F182" s="30">
        <f>F183+F184</f>
        <v>943400</v>
      </c>
      <c r="G182" s="30">
        <f>G183+G184</f>
        <v>0</v>
      </c>
      <c r="H182" s="30">
        <f>H183+H184</f>
        <v>0</v>
      </c>
      <c r="I182" s="30">
        <f>I183+I184</f>
        <v>0</v>
      </c>
      <c r="J182" s="30">
        <f>K182+N182</f>
        <v>17403000</v>
      </c>
      <c r="K182" s="30">
        <f>K183+K184</f>
        <v>17403000</v>
      </c>
      <c r="L182" s="30">
        <f>L183+L184</f>
        <v>0</v>
      </c>
      <c r="M182" s="30">
        <f>M183+M184</f>
        <v>0</v>
      </c>
      <c r="N182" s="30">
        <f>N183+N184</f>
        <v>0</v>
      </c>
      <c r="O182" s="30">
        <f>O183+O184</f>
        <v>0</v>
      </c>
      <c r="P182" s="30">
        <f>E182+J182</f>
        <v>18346400</v>
      </c>
      <c r="Q182" s="68"/>
      <c r="R182" s="35"/>
      <c r="S182" s="68"/>
      <c r="U182" s="7"/>
      <c r="Y182" s="132"/>
      <c r="Z182" s="140"/>
    </row>
    <row r="183" spans="1:26" ht="292.14999999999998" customHeight="1" x14ac:dyDescent="0.2">
      <c r="A183" s="6" t="s">
        <v>414</v>
      </c>
      <c r="B183" s="6" t="s">
        <v>415</v>
      </c>
      <c r="C183" s="6" t="s">
        <v>62</v>
      </c>
      <c r="D183" s="27" t="s">
        <v>413</v>
      </c>
      <c r="E183" s="21">
        <f t="shared" si="35"/>
        <v>0</v>
      </c>
      <c r="F183" s="21"/>
      <c r="G183" s="21"/>
      <c r="H183" s="21"/>
      <c r="I183" s="21"/>
      <c r="J183" s="21">
        <f>K183+N183</f>
        <v>17403000</v>
      </c>
      <c r="K183" s="21">
        <v>17403000</v>
      </c>
      <c r="L183" s="21"/>
      <c r="M183" s="21"/>
      <c r="N183" s="21"/>
      <c r="O183" s="21"/>
      <c r="P183" s="30">
        <f>E183+J183</f>
        <v>17403000</v>
      </c>
      <c r="Q183" s="34"/>
      <c r="R183" s="47"/>
      <c r="S183" s="34"/>
      <c r="U183" s="4"/>
    </row>
    <row r="184" spans="1:26" ht="75.599999999999994" customHeight="1" x14ac:dyDescent="0.2">
      <c r="A184" s="6" t="s">
        <v>373</v>
      </c>
      <c r="B184" s="6" t="s">
        <v>374</v>
      </c>
      <c r="C184" s="6" t="s">
        <v>62</v>
      </c>
      <c r="D184" s="27" t="s">
        <v>372</v>
      </c>
      <c r="E184" s="21">
        <f t="shared" si="35"/>
        <v>943400</v>
      </c>
      <c r="F184" s="21">
        <f>207200+736200</f>
        <v>943400</v>
      </c>
      <c r="G184" s="21"/>
      <c r="H184" s="21"/>
      <c r="I184" s="21"/>
      <c r="J184" s="21">
        <f>K184+N184</f>
        <v>0</v>
      </c>
      <c r="K184" s="21"/>
      <c r="L184" s="21"/>
      <c r="M184" s="21"/>
      <c r="N184" s="21"/>
      <c r="O184" s="21"/>
      <c r="P184" s="21">
        <f>E184+J184</f>
        <v>943400</v>
      </c>
      <c r="Q184" s="34"/>
      <c r="R184" s="47"/>
      <c r="S184" s="34"/>
      <c r="U184" s="4"/>
    </row>
    <row r="185" spans="1:26" s="8" customFormat="1" ht="64.150000000000006" customHeight="1" x14ac:dyDescent="0.2">
      <c r="A185" s="3" t="s">
        <v>299</v>
      </c>
      <c r="B185" s="3" t="s">
        <v>300</v>
      </c>
      <c r="C185" s="3"/>
      <c r="D185" s="29" t="s">
        <v>298</v>
      </c>
      <c r="E185" s="30">
        <f t="shared" si="35"/>
        <v>11493849</v>
      </c>
      <c r="F185" s="30">
        <f>F188+F186+F187</f>
        <v>11493849</v>
      </c>
      <c r="G185" s="30">
        <f>G188+G186+G187</f>
        <v>0</v>
      </c>
      <c r="H185" s="30">
        <f>H188+H186+H187</f>
        <v>0</v>
      </c>
      <c r="I185" s="30">
        <f>I188+I186+I187</f>
        <v>0</v>
      </c>
      <c r="J185" s="30">
        <f t="shared" si="19"/>
        <v>98517537</v>
      </c>
      <c r="K185" s="30">
        <f>K188+K186+K187</f>
        <v>0</v>
      </c>
      <c r="L185" s="30">
        <f>L188+L186+L187</f>
        <v>0</v>
      </c>
      <c r="M185" s="30">
        <f>M188+M186+M187</f>
        <v>0</v>
      </c>
      <c r="N185" s="30">
        <f>N188+N186+N187</f>
        <v>98517537</v>
      </c>
      <c r="O185" s="30">
        <f>O188+O186+O187</f>
        <v>95086037</v>
      </c>
      <c r="P185" s="30">
        <f t="shared" si="34"/>
        <v>110011386</v>
      </c>
      <c r="Q185" s="68"/>
      <c r="R185" s="35"/>
      <c r="S185" s="68"/>
      <c r="U185" s="7"/>
      <c r="Y185" s="132"/>
      <c r="Z185" s="140"/>
    </row>
    <row r="186" spans="1:26" s="8" customFormat="1" ht="77.45" customHeight="1" x14ac:dyDescent="0.2">
      <c r="A186" s="6" t="s">
        <v>353</v>
      </c>
      <c r="B186" s="15" t="s">
        <v>350</v>
      </c>
      <c r="C186" s="15" t="s">
        <v>62</v>
      </c>
      <c r="D186" s="27" t="s">
        <v>359</v>
      </c>
      <c r="E186" s="21">
        <f t="shared" si="35"/>
        <v>0</v>
      </c>
      <c r="F186" s="30"/>
      <c r="G186" s="30"/>
      <c r="H186" s="30"/>
      <c r="I186" s="30"/>
      <c r="J186" s="21">
        <f t="shared" si="19"/>
        <v>3431500</v>
      </c>
      <c r="K186" s="30"/>
      <c r="L186" s="30"/>
      <c r="M186" s="30"/>
      <c r="N186" s="21">
        <f>1332500+2099000</f>
        <v>3431500</v>
      </c>
      <c r="O186" s="30"/>
      <c r="P186" s="30">
        <f t="shared" si="34"/>
        <v>3431500</v>
      </c>
      <c r="Q186" s="68"/>
      <c r="R186" s="35"/>
      <c r="S186" s="68"/>
      <c r="U186" s="7"/>
      <c r="Y186" s="132"/>
      <c r="Z186" s="140"/>
    </row>
    <row r="187" spans="1:26" s="8" customFormat="1" ht="47.45" customHeight="1" x14ac:dyDescent="0.2">
      <c r="A187" s="6" t="s">
        <v>352</v>
      </c>
      <c r="B187" s="15" t="s">
        <v>351</v>
      </c>
      <c r="C187" s="15" t="s">
        <v>62</v>
      </c>
      <c r="D187" s="27" t="s">
        <v>358</v>
      </c>
      <c r="E187" s="21">
        <f t="shared" si="35"/>
        <v>0</v>
      </c>
      <c r="F187" s="30"/>
      <c r="G187" s="30"/>
      <c r="H187" s="30"/>
      <c r="I187" s="30"/>
      <c r="J187" s="21">
        <f t="shared" si="19"/>
        <v>2000000</v>
      </c>
      <c r="K187" s="30"/>
      <c r="L187" s="30"/>
      <c r="M187" s="30"/>
      <c r="N187" s="21">
        <f>O187</f>
        <v>2000000</v>
      </c>
      <c r="O187" s="21">
        <v>2000000</v>
      </c>
      <c r="P187" s="30">
        <f t="shared" si="34"/>
        <v>2000000</v>
      </c>
      <c r="Q187" s="68"/>
      <c r="R187" s="35"/>
      <c r="S187" s="68"/>
      <c r="U187" s="7"/>
      <c r="Y187" s="132"/>
      <c r="Z187" s="140"/>
    </row>
    <row r="188" spans="1:26" ht="21" customHeight="1" x14ac:dyDescent="0.2">
      <c r="A188" s="6" t="s">
        <v>208</v>
      </c>
      <c r="B188" s="15" t="s">
        <v>181</v>
      </c>
      <c r="C188" s="15" t="s">
        <v>62</v>
      </c>
      <c r="D188" s="26" t="s">
        <v>180</v>
      </c>
      <c r="E188" s="21">
        <f t="shared" si="35"/>
        <v>11493849</v>
      </c>
      <c r="F188" s="32">
        <f>1993849+3000000+1000000+500000+2125000+2875000</f>
        <v>11493849</v>
      </c>
      <c r="G188" s="32"/>
      <c r="H188" s="30"/>
      <c r="I188" s="12"/>
      <c r="J188" s="21">
        <f t="shared" si="19"/>
        <v>93086037</v>
      </c>
      <c r="K188" s="32"/>
      <c r="L188" s="32"/>
      <c r="M188" s="30"/>
      <c r="N188" s="32">
        <f>O188</f>
        <v>93086037</v>
      </c>
      <c r="O188" s="32">
        <f>36616515+14115504+359700+249569+264058+400000+693004+736300+29741972+1992063+1258300+285000+1435000+910000+3879052+150000</f>
        <v>93086037</v>
      </c>
      <c r="P188" s="30">
        <f t="shared" si="34"/>
        <v>104579886</v>
      </c>
      <c r="Q188" s="34"/>
      <c r="R188" s="34"/>
      <c r="S188" s="34"/>
      <c r="U188" s="7">
        <f>P199-T188</f>
        <v>1500000</v>
      </c>
      <c r="Y188" s="123">
        <v>90591037</v>
      </c>
      <c r="Z188" s="138">
        <f>O188-Y188</f>
        <v>2495000</v>
      </c>
    </row>
    <row r="189" spans="1:26" s="8" customFormat="1" ht="89.25" x14ac:dyDescent="0.2">
      <c r="A189" s="6" t="s">
        <v>363</v>
      </c>
      <c r="B189" s="15" t="s">
        <v>364</v>
      </c>
      <c r="C189" s="15" t="s">
        <v>62</v>
      </c>
      <c r="D189" s="26" t="s">
        <v>365</v>
      </c>
      <c r="E189" s="21">
        <f t="shared" si="35"/>
        <v>0</v>
      </c>
      <c r="F189" s="94"/>
      <c r="G189" s="94"/>
      <c r="H189" s="30"/>
      <c r="I189" s="12"/>
      <c r="J189" s="21">
        <f t="shared" si="19"/>
        <v>1916040</v>
      </c>
      <c r="K189" s="94"/>
      <c r="L189" s="94"/>
      <c r="M189" s="30"/>
      <c r="N189" s="94">
        <f>O189</f>
        <v>1916040</v>
      </c>
      <c r="O189" s="94">
        <v>1916040</v>
      </c>
      <c r="P189" s="30">
        <f t="shared" si="34"/>
        <v>1916040</v>
      </c>
      <c r="Q189" s="68"/>
      <c r="R189" s="68"/>
      <c r="S189" s="68"/>
      <c r="U189" s="7"/>
      <c r="Y189" s="132"/>
      <c r="Z189" s="140"/>
    </row>
    <row r="190" spans="1:26" ht="89.45" customHeight="1" x14ac:dyDescent="0.2">
      <c r="A190" s="6" t="s">
        <v>363</v>
      </c>
      <c r="B190" s="15" t="s">
        <v>364</v>
      </c>
      <c r="C190" s="15" t="s">
        <v>62</v>
      </c>
      <c r="D190" s="26" t="s">
        <v>366</v>
      </c>
      <c r="E190" s="21">
        <f t="shared" si="35"/>
        <v>155400</v>
      </c>
      <c r="F190" s="32">
        <f>84300+71100</f>
        <v>155400</v>
      </c>
      <c r="G190" s="32"/>
      <c r="H190" s="30"/>
      <c r="I190" s="12"/>
      <c r="J190" s="21">
        <f t="shared" si="19"/>
        <v>0</v>
      </c>
      <c r="K190" s="32"/>
      <c r="L190" s="32"/>
      <c r="M190" s="30"/>
      <c r="N190" s="94">
        <f t="shared" ref="N190:N195" si="36">O190</f>
        <v>0</v>
      </c>
      <c r="O190" s="32"/>
      <c r="P190" s="30">
        <f t="shared" si="34"/>
        <v>155400</v>
      </c>
      <c r="Q190" s="34"/>
      <c r="R190" s="34"/>
      <c r="S190" s="34"/>
      <c r="U190" s="7"/>
    </row>
    <row r="191" spans="1:26" ht="114.75" x14ac:dyDescent="0.2">
      <c r="A191" s="6" t="s">
        <v>363</v>
      </c>
      <c r="B191" s="15" t="s">
        <v>364</v>
      </c>
      <c r="C191" s="15" t="s">
        <v>62</v>
      </c>
      <c r="D191" s="26" t="s">
        <v>367</v>
      </c>
      <c r="E191" s="21">
        <f t="shared" si="35"/>
        <v>1163900</v>
      </c>
      <c r="F191" s="32">
        <f>940900+223000</f>
        <v>1163900</v>
      </c>
      <c r="G191" s="32"/>
      <c r="H191" s="30"/>
      <c r="I191" s="12"/>
      <c r="J191" s="21">
        <f t="shared" si="19"/>
        <v>100000</v>
      </c>
      <c r="K191" s="32"/>
      <c r="L191" s="32"/>
      <c r="M191" s="30"/>
      <c r="N191" s="94">
        <f t="shared" si="36"/>
        <v>100000</v>
      </c>
      <c r="O191" s="32">
        <v>100000</v>
      </c>
      <c r="P191" s="30">
        <f t="shared" si="34"/>
        <v>1263900</v>
      </c>
      <c r="Q191" s="34"/>
      <c r="R191" s="34"/>
      <c r="S191" s="34"/>
      <c r="U191" s="7"/>
    </row>
    <row r="192" spans="1:26" ht="102" x14ac:dyDescent="0.2">
      <c r="A192" s="6" t="s">
        <v>363</v>
      </c>
      <c r="B192" s="15" t="s">
        <v>364</v>
      </c>
      <c r="C192" s="15" t="s">
        <v>62</v>
      </c>
      <c r="D192" s="26" t="s">
        <v>368</v>
      </c>
      <c r="E192" s="21">
        <f t="shared" si="35"/>
        <v>0</v>
      </c>
      <c r="F192" s="32"/>
      <c r="G192" s="32"/>
      <c r="H192" s="30"/>
      <c r="I192" s="12"/>
      <c r="J192" s="21">
        <f t="shared" si="19"/>
        <v>100000</v>
      </c>
      <c r="K192" s="32"/>
      <c r="L192" s="32"/>
      <c r="M192" s="30"/>
      <c r="N192" s="94">
        <f t="shared" si="36"/>
        <v>100000</v>
      </c>
      <c r="O192" s="32">
        <v>100000</v>
      </c>
      <c r="P192" s="30">
        <f t="shared" si="34"/>
        <v>100000</v>
      </c>
      <c r="Q192" s="34"/>
      <c r="R192" s="34"/>
      <c r="S192" s="34"/>
      <c r="U192" s="7"/>
    </row>
    <row r="193" spans="1:26" ht="115.9" customHeight="1" x14ac:dyDescent="0.2">
      <c r="A193" s="6" t="s">
        <v>363</v>
      </c>
      <c r="B193" s="15" t="s">
        <v>364</v>
      </c>
      <c r="C193" s="15" t="s">
        <v>62</v>
      </c>
      <c r="D193" s="26" t="s">
        <v>369</v>
      </c>
      <c r="E193" s="21">
        <f t="shared" si="35"/>
        <v>8740</v>
      </c>
      <c r="F193" s="32">
        <v>8740</v>
      </c>
      <c r="G193" s="32"/>
      <c r="H193" s="30"/>
      <c r="I193" s="12"/>
      <c r="J193" s="21">
        <f t="shared" si="19"/>
        <v>120000</v>
      </c>
      <c r="K193" s="32"/>
      <c r="L193" s="32"/>
      <c r="M193" s="30"/>
      <c r="N193" s="94">
        <f t="shared" si="36"/>
        <v>120000</v>
      </c>
      <c r="O193" s="32">
        <v>120000</v>
      </c>
      <c r="P193" s="30">
        <f t="shared" si="34"/>
        <v>128740</v>
      </c>
      <c r="Q193" s="34"/>
      <c r="R193" s="34"/>
      <c r="S193" s="34"/>
      <c r="U193" s="7"/>
    </row>
    <row r="194" spans="1:26" ht="118.15" customHeight="1" x14ac:dyDescent="0.2">
      <c r="A194" s="6" t="s">
        <v>363</v>
      </c>
      <c r="B194" s="15" t="s">
        <v>364</v>
      </c>
      <c r="C194" s="15" t="s">
        <v>62</v>
      </c>
      <c r="D194" s="26" t="s">
        <v>370</v>
      </c>
      <c r="E194" s="21">
        <f t="shared" si="35"/>
        <v>0</v>
      </c>
      <c r="F194" s="32"/>
      <c r="G194" s="32"/>
      <c r="H194" s="30"/>
      <c r="I194" s="12"/>
      <c r="J194" s="21">
        <f t="shared" si="19"/>
        <v>300000</v>
      </c>
      <c r="K194" s="32"/>
      <c r="L194" s="32"/>
      <c r="M194" s="30"/>
      <c r="N194" s="94">
        <f t="shared" si="36"/>
        <v>300000</v>
      </c>
      <c r="O194" s="32">
        <v>300000</v>
      </c>
      <c r="P194" s="30">
        <f t="shared" si="34"/>
        <v>300000</v>
      </c>
      <c r="Q194" s="34"/>
      <c r="R194" s="34"/>
      <c r="S194" s="34"/>
      <c r="U194" s="7"/>
    </row>
    <row r="195" spans="1:26" ht="133.9" customHeight="1" x14ac:dyDescent="0.2">
      <c r="A195" s="6" t="s">
        <v>363</v>
      </c>
      <c r="B195" s="15" t="s">
        <v>364</v>
      </c>
      <c r="C195" s="15" t="s">
        <v>62</v>
      </c>
      <c r="D195" s="26" t="s">
        <v>371</v>
      </c>
      <c r="E195" s="21">
        <f t="shared" si="35"/>
        <v>200000</v>
      </c>
      <c r="F195" s="32">
        <v>200000</v>
      </c>
      <c r="G195" s="32"/>
      <c r="H195" s="30"/>
      <c r="I195" s="12"/>
      <c r="J195" s="21">
        <f t="shared" si="19"/>
        <v>100000</v>
      </c>
      <c r="K195" s="32"/>
      <c r="L195" s="32"/>
      <c r="M195" s="30"/>
      <c r="N195" s="94">
        <f t="shared" si="36"/>
        <v>100000</v>
      </c>
      <c r="O195" s="32">
        <v>100000</v>
      </c>
      <c r="P195" s="30">
        <f t="shared" si="34"/>
        <v>300000</v>
      </c>
      <c r="Q195" s="34"/>
      <c r="R195" s="34"/>
      <c r="S195" s="34"/>
      <c r="U195" s="7"/>
    </row>
    <row r="196" spans="1:26" s="118" customFormat="1" ht="133.9" customHeight="1" x14ac:dyDescent="0.2">
      <c r="A196" s="6" t="s">
        <v>363</v>
      </c>
      <c r="B196" s="15" t="s">
        <v>364</v>
      </c>
      <c r="C196" s="15" t="s">
        <v>62</v>
      </c>
      <c r="D196" s="26" t="s">
        <v>430</v>
      </c>
      <c r="E196" s="21">
        <f t="shared" si="35"/>
        <v>227000</v>
      </c>
      <c r="F196" s="32">
        <v>227000</v>
      </c>
      <c r="G196" s="32"/>
      <c r="H196" s="30"/>
      <c r="I196" s="12"/>
      <c r="J196" s="21">
        <f t="shared" si="19"/>
        <v>173000</v>
      </c>
      <c r="K196" s="32"/>
      <c r="L196" s="32"/>
      <c r="M196" s="30"/>
      <c r="N196" s="32">
        <f>O196</f>
        <v>173000</v>
      </c>
      <c r="O196" s="32">
        <v>173000</v>
      </c>
      <c r="P196" s="30">
        <f t="shared" si="34"/>
        <v>400000</v>
      </c>
      <c r="Q196" s="34"/>
      <c r="R196" s="34"/>
      <c r="S196" s="34"/>
      <c r="T196" s="5"/>
      <c r="U196" s="7"/>
      <c r="V196" s="5"/>
      <c r="W196" s="5"/>
      <c r="X196" s="5"/>
      <c r="Y196" s="123"/>
      <c r="Z196" s="125"/>
    </row>
    <row r="197" spans="1:26" s="118" customFormat="1" ht="167.45" customHeight="1" x14ac:dyDescent="0.2">
      <c r="A197" s="6" t="s">
        <v>363</v>
      </c>
      <c r="B197" s="15" t="s">
        <v>364</v>
      </c>
      <c r="C197" s="15" t="s">
        <v>62</v>
      </c>
      <c r="D197" s="26" t="s">
        <v>431</v>
      </c>
      <c r="E197" s="21">
        <f t="shared" si="35"/>
        <v>0</v>
      </c>
      <c r="F197" s="32"/>
      <c r="G197" s="32"/>
      <c r="H197" s="30"/>
      <c r="I197" s="12"/>
      <c r="J197" s="21">
        <f t="shared" si="19"/>
        <v>1250000</v>
      </c>
      <c r="K197" s="32"/>
      <c r="L197" s="32"/>
      <c r="M197" s="30"/>
      <c r="N197" s="32">
        <f>O197</f>
        <v>1250000</v>
      </c>
      <c r="O197" s="32">
        <v>1250000</v>
      </c>
      <c r="P197" s="30">
        <f t="shared" si="34"/>
        <v>1250000</v>
      </c>
      <c r="Q197" s="34"/>
      <c r="R197" s="34"/>
      <c r="S197" s="34"/>
      <c r="T197" s="5"/>
      <c r="U197" s="7"/>
      <c r="V197" s="5"/>
      <c r="W197" s="5"/>
      <c r="X197" s="5"/>
      <c r="Y197" s="123"/>
      <c r="Z197" s="125"/>
    </row>
    <row r="198" spans="1:26" s="118" customFormat="1" ht="95.45" customHeight="1" x14ac:dyDescent="0.2">
      <c r="A198" s="6" t="s">
        <v>363</v>
      </c>
      <c r="B198" s="15" t="s">
        <v>364</v>
      </c>
      <c r="C198" s="15" t="s">
        <v>62</v>
      </c>
      <c r="D198" s="26" t="s">
        <v>432</v>
      </c>
      <c r="E198" s="21">
        <f t="shared" si="35"/>
        <v>530000</v>
      </c>
      <c r="F198" s="32">
        <f>150000+380000</f>
        <v>530000</v>
      </c>
      <c r="G198" s="32"/>
      <c r="H198" s="30"/>
      <c r="I198" s="12"/>
      <c r="J198" s="21">
        <f t="shared" si="19"/>
        <v>0</v>
      </c>
      <c r="K198" s="32"/>
      <c r="L198" s="32"/>
      <c r="M198" s="30"/>
      <c r="N198" s="32">
        <f>O198</f>
        <v>0</v>
      </c>
      <c r="O198" s="32"/>
      <c r="P198" s="30">
        <f t="shared" si="34"/>
        <v>530000</v>
      </c>
      <c r="Q198" s="34"/>
      <c r="R198" s="34"/>
      <c r="S198" s="34"/>
      <c r="T198" s="5"/>
      <c r="U198" s="7"/>
      <c r="V198" s="5"/>
      <c r="W198" s="5"/>
      <c r="X198" s="5"/>
      <c r="Y198" s="123"/>
      <c r="Z198" s="125"/>
    </row>
    <row r="199" spans="1:26" ht="19.899999999999999" customHeight="1" x14ac:dyDescent="0.2">
      <c r="A199" s="3" t="s">
        <v>209</v>
      </c>
      <c r="B199" s="3"/>
      <c r="C199" s="3"/>
      <c r="D199" s="28" t="s">
        <v>13</v>
      </c>
      <c r="E199" s="30">
        <f t="shared" si="35"/>
        <v>1500000</v>
      </c>
      <c r="F199" s="30">
        <f>F200</f>
        <v>1500000</v>
      </c>
      <c r="G199" s="30">
        <f>G200</f>
        <v>0</v>
      </c>
      <c r="H199" s="30">
        <f>H200</f>
        <v>0</v>
      </c>
      <c r="I199" s="30">
        <f>I200</f>
        <v>0</v>
      </c>
      <c r="J199" s="21">
        <f t="shared" si="19"/>
        <v>0</v>
      </c>
      <c r="K199" s="30">
        <f>K200</f>
        <v>0</v>
      </c>
      <c r="L199" s="30">
        <f>L200</f>
        <v>0</v>
      </c>
      <c r="M199" s="30">
        <f>M200</f>
        <v>0</v>
      </c>
      <c r="N199" s="30">
        <f>N200</f>
        <v>0</v>
      </c>
      <c r="O199" s="30">
        <f>O200</f>
        <v>0</v>
      </c>
      <c r="P199" s="30">
        <f t="shared" si="34"/>
        <v>1500000</v>
      </c>
      <c r="Q199" s="34"/>
      <c r="R199" s="34"/>
      <c r="S199" s="34"/>
      <c r="U199" s="7">
        <f>P200-T199</f>
        <v>1500000</v>
      </c>
    </row>
    <row r="200" spans="1:26" ht="27.6" customHeight="1" x14ac:dyDescent="0.2">
      <c r="A200" s="6" t="s">
        <v>210</v>
      </c>
      <c r="B200" s="6" t="s">
        <v>177</v>
      </c>
      <c r="C200" s="6" t="s">
        <v>61</v>
      </c>
      <c r="D200" s="27" t="s">
        <v>117</v>
      </c>
      <c r="E200" s="21">
        <f t="shared" si="35"/>
        <v>1500000</v>
      </c>
      <c r="F200" s="21">
        <v>1500000</v>
      </c>
      <c r="G200" s="21"/>
      <c r="H200" s="21"/>
      <c r="I200" s="13"/>
      <c r="J200" s="21">
        <f t="shared" si="19"/>
        <v>0</v>
      </c>
      <c r="K200" s="21"/>
      <c r="L200" s="21"/>
      <c r="M200" s="21"/>
      <c r="N200" s="21">
        <v>0</v>
      </c>
      <c r="O200" s="21">
        <v>0</v>
      </c>
      <c r="P200" s="61">
        <f>E200+J200</f>
        <v>1500000</v>
      </c>
      <c r="T200" s="5">
        <v>6702451100.9300003</v>
      </c>
      <c r="U200" s="7">
        <f>P201-T200</f>
        <v>2571022736.5900002</v>
      </c>
    </row>
    <row r="201" spans="1:26" ht="25.15" customHeight="1" x14ac:dyDescent="0.2">
      <c r="A201" s="3"/>
      <c r="B201" s="3"/>
      <c r="C201" s="3"/>
      <c r="D201" s="28" t="s">
        <v>17</v>
      </c>
      <c r="E201" s="129">
        <f t="shared" ref="E201:P201" si="37">E13+E22+E25++E46+E69+E81+E106+E111+E127+E136+E140+E148+E151</f>
        <v>7910580045.5200005</v>
      </c>
      <c r="F201" s="129">
        <f t="shared" si="37"/>
        <v>7829118216.5200005</v>
      </c>
      <c r="G201" s="129">
        <f t="shared" si="37"/>
        <v>458500879</v>
      </c>
      <c r="H201" s="129">
        <f t="shared" si="37"/>
        <v>65568281.519999996</v>
      </c>
      <c r="I201" s="129">
        <f t="shared" si="37"/>
        <v>81461829</v>
      </c>
      <c r="J201" s="129">
        <f t="shared" si="37"/>
        <v>1362893792</v>
      </c>
      <c r="K201" s="129">
        <f t="shared" si="37"/>
        <v>275651509</v>
      </c>
      <c r="L201" s="129">
        <f t="shared" si="37"/>
        <v>5638992</v>
      </c>
      <c r="M201" s="129">
        <f t="shared" si="37"/>
        <v>2172064</v>
      </c>
      <c r="N201" s="129">
        <f t="shared" si="37"/>
        <v>1087242283</v>
      </c>
      <c r="O201" s="129">
        <f t="shared" si="37"/>
        <v>418929220</v>
      </c>
      <c r="P201" s="129">
        <f t="shared" si="37"/>
        <v>9273473837.5200005</v>
      </c>
      <c r="Q201" s="83">
        <f t="shared" ref="Q201:X201" si="38">Q13+Q22+Q25+Q46+Q69+Q81+Q106+Q111+Q127+Q151</f>
        <v>1884617922</v>
      </c>
      <c r="R201" s="83">
        <f t="shared" si="38"/>
        <v>4233295890.52</v>
      </c>
      <c r="S201" s="83">
        <f t="shared" si="38"/>
        <v>0</v>
      </c>
      <c r="T201" s="83">
        <f t="shared" si="38"/>
        <v>6339717476.9300003</v>
      </c>
      <c r="U201" s="83">
        <f t="shared" si="38"/>
        <v>2767632307.5900002</v>
      </c>
      <c r="V201" s="83">
        <f t="shared" si="38"/>
        <v>699368498</v>
      </c>
      <c r="W201" s="83">
        <f t="shared" si="38"/>
        <v>210244653</v>
      </c>
      <c r="X201" s="83">
        <f t="shared" si="38"/>
        <v>0</v>
      </c>
    </row>
    <row r="203" spans="1:26" x14ac:dyDescent="0.2">
      <c r="E203" s="119"/>
      <c r="F203" s="119"/>
      <c r="G203" s="119"/>
      <c r="H203" s="119"/>
      <c r="I203" s="120"/>
      <c r="J203" s="119"/>
      <c r="K203" s="119"/>
      <c r="L203" s="119"/>
      <c r="M203" s="119"/>
      <c r="N203" s="119"/>
      <c r="O203" s="119"/>
      <c r="P203" s="121"/>
    </row>
    <row r="204" spans="1:26" x14ac:dyDescent="0.2"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8"/>
    </row>
    <row r="205" spans="1:26" x14ac:dyDescent="0.2">
      <c r="O205" s="124"/>
    </row>
    <row r="206" spans="1:26" x14ac:dyDescent="0.2">
      <c r="O206" s="124"/>
    </row>
    <row r="207" spans="1:26" s="8" customFormat="1" x14ac:dyDescent="0.2">
      <c r="E207" s="116"/>
      <c r="F207" s="116"/>
      <c r="G207" s="116"/>
      <c r="H207" s="116"/>
      <c r="J207" s="116"/>
      <c r="K207" s="116"/>
      <c r="L207" s="116"/>
      <c r="M207" s="116"/>
      <c r="N207" s="116"/>
      <c r="O207" s="130"/>
      <c r="P207" s="116"/>
      <c r="Y207" s="132"/>
      <c r="Z207" s="140"/>
    </row>
    <row r="208" spans="1:26" x14ac:dyDescent="0.2">
      <c r="E208" s="119"/>
      <c r="F208" s="119"/>
      <c r="G208" s="119"/>
      <c r="H208" s="119"/>
      <c r="I208" s="120"/>
      <c r="J208" s="119"/>
      <c r="K208" s="119"/>
      <c r="L208" s="119"/>
      <c r="M208" s="119"/>
      <c r="N208" s="119"/>
      <c r="O208" s="119"/>
      <c r="P208" s="121"/>
    </row>
    <row r="209" spans="5:26" x14ac:dyDescent="0.2">
      <c r="E209" s="119"/>
      <c r="F209" s="119"/>
      <c r="G209" s="119"/>
      <c r="H209" s="119"/>
      <c r="I209" s="120"/>
      <c r="J209" s="119"/>
      <c r="K209" s="119"/>
      <c r="L209" s="119"/>
      <c r="M209" s="119"/>
      <c r="N209" s="119"/>
      <c r="O209" s="119"/>
      <c r="P209" s="121"/>
    </row>
    <row r="210" spans="5:26" x14ac:dyDescent="0.2">
      <c r="E210" s="119"/>
      <c r="F210" s="119"/>
      <c r="G210" s="119"/>
      <c r="H210" s="119"/>
      <c r="I210" s="120"/>
      <c r="J210" s="119"/>
      <c r="K210" s="119"/>
      <c r="L210" s="119"/>
      <c r="M210" s="119"/>
      <c r="N210" s="119"/>
      <c r="O210" s="119"/>
      <c r="P210" s="121"/>
    </row>
    <row r="211" spans="5:26" x14ac:dyDescent="0.2">
      <c r="E211" s="119"/>
      <c r="F211" s="119"/>
      <c r="G211" s="119"/>
      <c r="H211" s="119"/>
      <c r="I211" s="120"/>
      <c r="J211" s="119"/>
      <c r="K211" s="119"/>
      <c r="L211" s="119"/>
      <c r="M211" s="119"/>
      <c r="N211" s="119"/>
      <c r="O211" s="119"/>
      <c r="P211" s="121"/>
    </row>
    <row r="212" spans="5:26" x14ac:dyDescent="0.2">
      <c r="E212" s="119"/>
      <c r="F212" s="119"/>
      <c r="G212" s="119"/>
      <c r="H212" s="119"/>
      <c r="I212" s="120"/>
      <c r="J212" s="119"/>
      <c r="K212" s="119"/>
      <c r="L212" s="119"/>
      <c r="M212" s="119"/>
      <c r="N212" s="119"/>
      <c r="O212" s="119"/>
      <c r="P212" s="121"/>
    </row>
    <row r="213" spans="5:26" s="126" customFormat="1" x14ac:dyDescent="0.2">
      <c r="E213" s="127"/>
      <c r="F213" s="127"/>
      <c r="G213" s="127"/>
      <c r="H213" s="127"/>
      <c r="J213" s="127"/>
      <c r="K213" s="127"/>
      <c r="L213" s="127"/>
      <c r="M213" s="127"/>
      <c r="N213" s="127"/>
      <c r="O213" s="127"/>
      <c r="P213" s="128"/>
      <c r="Z213" s="125"/>
    </row>
    <row r="214" spans="5:26" ht="27.6" customHeight="1" x14ac:dyDescent="0.2"/>
  </sheetData>
  <autoFilter ref="B13:B201"/>
  <mergeCells count="25">
    <mergeCell ref="P8:P11"/>
    <mergeCell ref="I9:I11"/>
    <mergeCell ref="L9:M9"/>
    <mergeCell ref="H10:H11"/>
    <mergeCell ref="E8:I8"/>
    <mergeCell ref="G9:H9"/>
    <mergeCell ref="J9:J11"/>
    <mergeCell ref="K9:K11"/>
    <mergeCell ref="L10:L11"/>
    <mergeCell ref="D8:D10"/>
    <mergeCell ref="B8:B11"/>
    <mergeCell ref="F9:F11"/>
    <mergeCell ref="E9:E11"/>
    <mergeCell ref="O10:O11"/>
    <mergeCell ref="C8:C11"/>
    <mergeCell ref="M10:M11"/>
    <mergeCell ref="L1:P1"/>
    <mergeCell ref="L2:P2"/>
    <mergeCell ref="L3:P3"/>
    <mergeCell ref="L4:P4"/>
    <mergeCell ref="A6:P6"/>
    <mergeCell ref="A8:A11"/>
    <mergeCell ref="J8:O8"/>
    <mergeCell ref="N9:N11"/>
    <mergeCell ref="G10:G11"/>
  </mergeCells>
  <phoneticPr fontId="0" type="noConversion"/>
  <printOptions horizontalCentered="1"/>
  <pageMargins left="0.19685039370078741" right="0.19685039370078741" top="0.59055118110236227" bottom="0.19685039370078741" header="0" footer="0.19685039370078741"/>
  <pageSetup paperSize="9" scale="60" fitToHeight="15" orientation="landscape" r:id="rId1"/>
  <headerFooter alignWithMargins="0">
    <oddFooter>&amp;R&amp;P</oddFooter>
  </headerFooter>
  <rowBreaks count="2" manualBreakCount="2">
    <brk id="158" max="15" man="1"/>
    <brk id="1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 3</vt:lpstr>
      <vt:lpstr>'дод 3'!Заголовки_для_друку</vt:lpstr>
      <vt:lpstr>'дод 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Ричина Наталія Михайлівна</dc:creator>
  <cp:lastModifiedBy>Войтович</cp:lastModifiedBy>
  <cp:lastPrinted>2018-08-27T14:12:28Z</cp:lastPrinted>
  <dcterms:created xsi:type="dcterms:W3CDTF">2010-12-22T14:43:06Z</dcterms:created>
  <dcterms:modified xsi:type="dcterms:W3CDTF">2018-08-30T13:51:45Z</dcterms:modified>
</cp:coreProperties>
</file>