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624A2C49-B7FE-4C79-95E9-F065AB33846C}" xr6:coauthVersionLast="40" xr6:coauthVersionMax="40" xr10:uidLastSave="{00000000-0000-0000-0000-000000000000}"/>
  <bookViews>
    <workbookView xWindow="6345" yWindow="1515" windowWidth="15375" windowHeight="10200" tabRatio="945"/>
  </bookViews>
  <sheets>
    <sheet name="дод 3" sheetId="9" r:id="rId1"/>
  </sheets>
  <definedNames>
    <definedName name="_xlnm._FilterDatabase" localSheetId="0" hidden="1">'дод 3'!$B$14:$B$184</definedName>
    <definedName name="Z_262A3912_DD70_4B2A_8782_11241825DD41_.wvu.FilterData" localSheetId="0" hidden="1">'дод 3'!#REF!</definedName>
    <definedName name="Z_262A3912_DD70_4B2A_8782_11241825DD41_.wvu.PrintArea" localSheetId="0" hidden="1">'дод 3'!$B$2:$P$184</definedName>
    <definedName name="Z_262A3912_DD70_4B2A_8782_11241825DD41_.wvu.PrintTitles" localSheetId="0" hidden="1">'дод 3'!$9:$13</definedName>
    <definedName name="Z_55DE217F_7BCE_4030_A378_BBDB19AA32BC_.wvu.FilterData" localSheetId="0" hidden="1">'дод 3'!#REF!</definedName>
    <definedName name="Z_55DE217F_7BCE_4030_A378_BBDB19AA32BC_.wvu.PrintArea" localSheetId="0" hidden="1">'дод 3'!$B$2:$P$184</definedName>
    <definedName name="Z_55DE217F_7BCE_4030_A378_BBDB19AA32BC_.wvu.PrintTitles" localSheetId="0" hidden="1">'дод 3'!$9:$13</definedName>
    <definedName name="Z_8C514651_C019_48EB_BC9A_5CF7A7C062C3_.wvu.FilterData" localSheetId="0" hidden="1">'дод 3'!#REF!</definedName>
    <definedName name="Z_8C514651_C019_48EB_BC9A_5CF7A7C062C3_.wvu.PrintArea" localSheetId="0" hidden="1">'дод 3'!$B$2:$P$184</definedName>
    <definedName name="Z_8C514651_C019_48EB_BC9A_5CF7A7C062C3_.wvu.PrintTitles" localSheetId="0" hidden="1">'дод 3'!$9:$13</definedName>
    <definedName name="Z_A2EE22D5_0D01_4651_974A_DBB0B47E334C_.wvu.FilterData" localSheetId="0" hidden="1">'дод 3'!#REF!</definedName>
    <definedName name="Z_A2EE22D5_0D01_4651_974A_DBB0B47E334C_.wvu.PrintArea" localSheetId="0" hidden="1">'дод 3'!$B$2:$P$184</definedName>
    <definedName name="Z_A2EE22D5_0D01_4651_974A_DBB0B47E334C_.wvu.PrintTitles" localSheetId="0" hidden="1">'дод 3'!$9:$13</definedName>
    <definedName name="Z_B9ABD3DA_D8E6_4359_B122_CA96965080C7_.wvu.FilterData" localSheetId="0" hidden="1">'дод 3'!#REF!</definedName>
    <definedName name="Z_B9ABD3DA_D8E6_4359_B122_CA96965080C7_.wvu.PrintArea" localSheetId="0" hidden="1">'дод 3'!$B$2:$P$184</definedName>
    <definedName name="Z_B9ABD3DA_D8E6_4359_B122_CA96965080C7_.wvu.PrintTitles" localSheetId="0" hidden="1">'дод 3'!$9:$13</definedName>
    <definedName name="Z_CEC3A13C_C991_47CB_8169_8518E6DF0FD0_.wvu.FilterData" localSheetId="0" hidden="1">'дод 3'!#REF!</definedName>
    <definedName name="Z_CEC3A13C_C991_47CB_8169_8518E6DF0FD0_.wvu.PrintArea" localSheetId="0" hidden="1">'дод 3'!$B$2:$P$184</definedName>
    <definedName name="Z_CEC3A13C_C991_47CB_8169_8518E6DF0FD0_.wvu.PrintTitles" localSheetId="0" hidden="1">'дод 3'!$9:$13</definedName>
    <definedName name="Z_D73D0E9B_2717_48D0_8E2C_FF64265ACAB1_.wvu.FilterData" localSheetId="0" hidden="1">'дод 3'!#REF!</definedName>
    <definedName name="Z_D73D0E9B_2717_48D0_8E2C_FF64265ACAB1_.wvu.PrintArea" localSheetId="0" hidden="1">'дод 3'!$B$2:$P$184</definedName>
    <definedName name="Z_D73D0E9B_2717_48D0_8E2C_FF64265ACAB1_.wvu.PrintTitles" localSheetId="0" hidden="1">'дод 3'!$9:$13</definedName>
    <definedName name="Z_EBAA2E10_33D1_4ABA_B856_04E6905A93CB_.wvu.FilterData" localSheetId="0" hidden="1">'дод 3'!#REF!</definedName>
    <definedName name="Z_EBAA2E10_33D1_4ABA_B856_04E6905A93CB_.wvu.PrintArea" localSheetId="0" hidden="1">'дод 3'!$B$2:$P$184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3'!$A$2:$P$184</definedName>
  </definedNames>
  <calcPr calcId="181029" fullCalcOnLoad="1"/>
  <customWorkbookViews>
    <customWorkbookView name="pmv03 - Личное представление" guid="{2C8A675D-81DA-4092-B0A7-BDDA097E8064}" mergeInterval="0" personalView="1" maximized="1" windowWidth="1020" windowHeight="570" tabRatio="945" activeSheetId="7"/>
    <customWorkbookView name="kmv03 - Личное представление" guid="{8C514651-C019-48EB-BC9A-5CF7A7C062C3}" mergeInterval="0" personalView="1" maximized="1" windowWidth="1276" windowHeight="825" tabRatio="945" activeSheetId="7"/>
    <customWorkbookView name="admin - Личное представление" guid="{A2EE22D5-0D01-4651-974A-DBB0B47E334C}" mergeInterval="0" personalView="1" maximized="1" windowWidth="1916" windowHeight="900" tabRatio="945" activeSheetId="7"/>
    <customWorkbookView name="vom03 - Личное представление" guid="{CEC3A13C-C991-47CB-8169-8518E6DF0FD0}" mergeInterval="0" personalView="1" maximized="1" windowWidth="1276" windowHeight="826" tabRatio="945" activeSheetId="7"/>
    <customWorkbookView name="dsv03 - Личное представление" guid="{04AA40B6-9CCF-468B-B9E0-3925FF26B598}" mergeInterval="0" personalView="1" maximized="1" windowWidth="1276" windowHeight="852" tabRatio="945" activeSheetId="7"/>
    <customWorkbookView name="dsm03 - Личное представление" guid="{D73D0E9B-2717-48D0-8E2C-FF64265ACAB1}" mergeInterval="0" personalView="1" maximized="1" windowWidth="1020" windowHeight="596" tabRatio="945" activeSheetId="6"/>
    <customWorkbookView name="iov03 - Личное представление" guid="{55DE217F-7BCE-4030-A378-BBDB19AA32BC}" mergeInterval="0" personalView="1" maximized="1" windowWidth="1276" windowHeight="852" tabRatio="945" activeSheetId="7"/>
    <customWorkbookView name="jom03 - Личное представление" guid="{EBAA2E10-33D1-4ABA-B856-04E6905A93CB}" mergeInterval="0" personalView="1" maximized="1" windowWidth="1276" windowHeight="800" tabRatio="945" activeSheetId="7"/>
    <customWorkbookView name="ozom03 - Личное представление" guid="{262A3912-DD70-4B2A-8782-11241825DD41}" mergeInterval="0" personalView="1" maximized="1" windowWidth="1276" windowHeight="848" tabRatio="945" activeSheetId="7"/>
    <customWorkbookView name="gvm03 - Личное представление" guid="{B9ABD3DA-D8E6-4359-B122-CA96965080C7}" mergeInterval="0" personalView="1" maximized="1" windowWidth="1916" windowHeight="847" tabRatio="945" activeSheetId="7"/>
  </customWorkbookViews>
</workbook>
</file>

<file path=xl/calcChain.xml><?xml version="1.0" encoding="utf-8"?>
<calcChain xmlns="http://schemas.openxmlformats.org/spreadsheetml/2006/main">
  <c r="K172" i="9" l="1"/>
  <c r="K46" i="9"/>
  <c r="F46" i="9"/>
  <c r="K69" i="9"/>
  <c r="F75" i="9"/>
  <c r="K62" i="9"/>
  <c r="O62" i="9" s="1"/>
  <c r="O60" i="9" s="1"/>
  <c r="K61" i="9"/>
  <c r="O61" i="9"/>
  <c r="J61" i="9" s="1"/>
  <c r="P61" i="9" s="1"/>
  <c r="E61" i="9"/>
  <c r="L60" i="9"/>
  <c r="J60" i="9" s="1"/>
  <c r="M60" i="9"/>
  <c r="N60" i="9"/>
  <c r="G60" i="9"/>
  <c r="H60" i="9"/>
  <c r="I60" i="9"/>
  <c r="F60" i="9"/>
  <c r="F172" i="9"/>
  <c r="K57" i="9"/>
  <c r="K59" i="9"/>
  <c r="K45" i="9"/>
  <c r="L170" i="9"/>
  <c r="M170" i="9"/>
  <c r="N170" i="9"/>
  <c r="O172" i="9"/>
  <c r="O171" i="9"/>
  <c r="O170" i="9" s="1"/>
  <c r="J170" i="9" s="1"/>
  <c r="K170" i="9"/>
  <c r="G170" i="9"/>
  <c r="H170" i="9"/>
  <c r="I170" i="9"/>
  <c r="F170" i="9"/>
  <c r="L17" i="9"/>
  <c r="L20" i="9"/>
  <c r="L23" i="9"/>
  <c r="L15" i="9"/>
  <c r="M17" i="9"/>
  <c r="M20" i="9"/>
  <c r="M23" i="9"/>
  <c r="M15" i="9"/>
  <c r="N17" i="9"/>
  <c r="N20" i="9"/>
  <c r="N23" i="9"/>
  <c r="N15" i="9"/>
  <c r="K16" i="9"/>
  <c r="O16" i="9"/>
  <c r="O18" i="9"/>
  <c r="O17" i="9"/>
  <c r="O19" i="9"/>
  <c r="O21" i="9"/>
  <c r="O20" i="9" s="1"/>
  <c r="O25" i="9"/>
  <c r="K24" i="9"/>
  <c r="O24" i="9"/>
  <c r="O23" i="9" s="1"/>
  <c r="J23" i="9" s="1"/>
  <c r="K22" i="9"/>
  <c r="O22" i="9"/>
  <c r="J22" i="9" s="1"/>
  <c r="K17" i="9"/>
  <c r="K15" i="9" s="1"/>
  <c r="K20" i="9"/>
  <c r="K23" i="9"/>
  <c r="G17" i="9"/>
  <c r="G15" i="9" s="1"/>
  <c r="G20" i="9"/>
  <c r="G23" i="9"/>
  <c r="H17" i="9"/>
  <c r="H15" i="9" s="1"/>
  <c r="H20" i="9"/>
  <c r="H23" i="9"/>
  <c r="I17" i="9"/>
  <c r="I15" i="9" s="1"/>
  <c r="I14" i="9" s="1"/>
  <c r="I20" i="9"/>
  <c r="I23" i="9"/>
  <c r="F18" i="9"/>
  <c r="F17" i="9" s="1"/>
  <c r="F15" i="9" s="1"/>
  <c r="F19" i="9"/>
  <c r="F20" i="9"/>
  <c r="F24" i="9"/>
  <c r="F23" i="9"/>
  <c r="E25" i="9"/>
  <c r="J25" i="9"/>
  <c r="P25" i="9" s="1"/>
  <c r="F36" i="9"/>
  <c r="K29" i="9"/>
  <c r="K30" i="9"/>
  <c r="K31" i="9"/>
  <c r="K32" i="9"/>
  <c r="K33" i="9"/>
  <c r="K38" i="9"/>
  <c r="K37" i="9" s="1"/>
  <c r="K39" i="9"/>
  <c r="K145" i="9"/>
  <c r="K147" i="9"/>
  <c r="K144" i="9" s="1"/>
  <c r="K143" i="9" s="1"/>
  <c r="K142" i="9" s="1"/>
  <c r="K153" i="9"/>
  <c r="K162" i="9"/>
  <c r="K168" i="9"/>
  <c r="K175" i="9"/>
  <c r="K179" i="9"/>
  <c r="K173" i="9"/>
  <c r="K182" i="9"/>
  <c r="K14" i="9"/>
  <c r="K48" i="9"/>
  <c r="K50" i="9"/>
  <c r="K51" i="9"/>
  <c r="K56" i="9"/>
  <c r="K55" i="9" s="1"/>
  <c r="K58" i="9"/>
  <c r="K68" i="9"/>
  <c r="K67" i="9"/>
  <c r="K65" i="9" s="1"/>
  <c r="K64" i="9" s="1"/>
  <c r="K73" i="9"/>
  <c r="K76" i="9"/>
  <c r="K80" i="9"/>
  <c r="K79" i="9"/>
  <c r="K78" i="9" s="1"/>
  <c r="K89" i="9"/>
  <c r="K84" i="9" s="1"/>
  <c r="K83" i="9" s="1"/>
  <c r="K90" i="9"/>
  <c r="K91" i="9"/>
  <c r="K97" i="9"/>
  <c r="K96" i="9"/>
  <c r="K99" i="9"/>
  <c r="K98" i="9"/>
  <c r="K100" i="9"/>
  <c r="K103" i="9"/>
  <c r="K104" i="9"/>
  <c r="K107" i="9"/>
  <c r="K111" i="9"/>
  <c r="K114" i="9"/>
  <c r="K116" i="9"/>
  <c r="K123" i="9"/>
  <c r="K122" i="9" s="1"/>
  <c r="K120" i="9" s="1"/>
  <c r="K119" i="9" s="1"/>
  <c r="K124" i="9"/>
  <c r="K128" i="9"/>
  <c r="K127" i="9"/>
  <c r="K137" i="9"/>
  <c r="K136" i="9"/>
  <c r="K135" i="9" s="1"/>
  <c r="K134" i="9" s="1"/>
  <c r="K131" i="9"/>
  <c r="L137" i="9"/>
  <c r="L135" i="9" s="1"/>
  <c r="M137" i="9"/>
  <c r="M135" i="9" s="1"/>
  <c r="N137" i="9"/>
  <c r="N135" i="9" s="1"/>
  <c r="O139" i="9"/>
  <c r="O137" i="9"/>
  <c r="G137" i="9"/>
  <c r="G135" i="9" s="1"/>
  <c r="H137" i="9"/>
  <c r="H135" i="9" s="1"/>
  <c r="I137" i="9"/>
  <c r="I135" i="9" s="1"/>
  <c r="I134" i="9" s="1"/>
  <c r="F137" i="9"/>
  <c r="F141" i="9"/>
  <c r="F136" i="9"/>
  <c r="F28" i="9"/>
  <c r="F29" i="9"/>
  <c r="F30" i="9"/>
  <c r="F31" i="9"/>
  <c r="F32" i="9"/>
  <c r="F33" i="9"/>
  <c r="F35" i="9"/>
  <c r="F38" i="9"/>
  <c r="F37" i="9" s="1"/>
  <c r="F39" i="9"/>
  <c r="F27" i="9" s="1"/>
  <c r="F26" i="9" s="1"/>
  <c r="E26" i="9" s="1"/>
  <c r="I37" i="9"/>
  <c r="I39" i="9"/>
  <c r="I27" i="9"/>
  <c r="I26" i="9" s="1"/>
  <c r="F145" i="9"/>
  <c r="F147" i="9"/>
  <c r="F153" i="9"/>
  <c r="F165" i="9"/>
  <c r="F162" i="9"/>
  <c r="F168" i="9"/>
  <c r="F177" i="9"/>
  <c r="F178" i="9"/>
  <c r="F173" i="9"/>
  <c r="F179" i="9"/>
  <c r="F180" i="9"/>
  <c r="F182" i="9"/>
  <c r="I145" i="9"/>
  <c r="I147" i="9"/>
  <c r="I153" i="9"/>
  <c r="I162" i="9"/>
  <c r="I168" i="9"/>
  <c r="I173" i="9"/>
  <c r="I182" i="9"/>
  <c r="F45" i="9"/>
  <c r="F47" i="9"/>
  <c r="F48" i="9"/>
  <c r="F50" i="9"/>
  <c r="F51" i="9"/>
  <c r="F53" i="9"/>
  <c r="F54" i="9"/>
  <c r="F57" i="9"/>
  <c r="F55" i="9"/>
  <c r="F58" i="9"/>
  <c r="F43" i="9"/>
  <c r="F42" i="9" s="1"/>
  <c r="E42" i="9" s="1"/>
  <c r="I55" i="9"/>
  <c r="I58" i="9"/>
  <c r="I43" i="9" s="1"/>
  <c r="I42" i="9"/>
  <c r="F69" i="9"/>
  <c r="F67" i="9"/>
  <c r="F65" i="9" s="1"/>
  <c r="F73" i="9"/>
  <c r="F76" i="9"/>
  <c r="I67" i="9"/>
  <c r="I73" i="9"/>
  <c r="I76" i="9"/>
  <c r="F82" i="9"/>
  <c r="F80" i="9"/>
  <c r="F79" i="9" s="1"/>
  <c r="I80" i="9"/>
  <c r="I79" i="9" s="1"/>
  <c r="I78" i="9"/>
  <c r="F86" i="9"/>
  <c r="F87" i="9"/>
  <c r="F84" i="9" s="1"/>
  <c r="F88" i="9"/>
  <c r="F89" i="9"/>
  <c r="F90" i="9"/>
  <c r="F92" i="9"/>
  <c r="F93" i="9"/>
  <c r="F91" i="9" s="1"/>
  <c r="I91" i="9"/>
  <c r="I84" i="9" s="1"/>
  <c r="I83" i="9" s="1"/>
  <c r="F97" i="9"/>
  <c r="F96" i="9"/>
  <c r="F98" i="9"/>
  <c r="F100" i="9"/>
  <c r="F103" i="9"/>
  <c r="F102" i="9"/>
  <c r="F104" i="9"/>
  <c r="F107" i="9"/>
  <c r="F113" i="9"/>
  <c r="F110" i="9"/>
  <c r="F115" i="9"/>
  <c r="F114" i="9"/>
  <c r="F116" i="9"/>
  <c r="F95" i="9"/>
  <c r="F94" i="9" s="1"/>
  <c r="I96" i="9"/>
  <c r="I98" i="9"/>
  <c r="I100" i="9"/>
  <c r="I102" i="9"/>
  <c r="I104" i="9"/>
  <c r="I107" i="9"/>
  <c r="I110" i="9"/>
  <c r="I114" i="9"/>
  <c r="I116" i="9"/>
  <c r="F122" i="9"/>
  <c r="F124" i="9"/>
  <c r="F120" i="9"/>
  <c r="F119" i="9" s="1"/>
  <c r="I122" i="9"/>
  <c r="I124" i="9"/>
  <c r="I120" i="9"/>
  <c r="I119" i="9" s="1"/>
  <c r="F128" i="9"/>
  <c r="F127" i="9" s="1"/>
  <c r="E127" i="9" s="1"/>
  <c r="I128" i="9"/>
  <c r="I127" i="9"/>
  <c r="F131" i="9"/>
  <c r="I131" i="9"/>
  <c r="E131" i="9" s="1"/>
  <c r="L153" i="9"/>
  <c r="L162" i="9"/>
  <c r="L169" i="9"/>
  <c r="L181" i="9"/>
  <c r="M153" i="9"/>
  <c r="M162" i="9"/>
  <c r="M168" i="9"/>
  <c r="M173" i="9"/>
  <c r="N153" i="9"/>
  <c r="N162" i="9"/>
  <c r="N168" i="9"/>
  <c r="N173" i="9"/>
  <c r="O160" i="9"/>
  <c r="O161" i="9"/>
  <c r="J161" i="9" s="1"/>
  <c r="O155" i="9"/>
  <c r="O156" i="9"/>
  <c r="O157" i="9"/>
  <c r="O158" i="9"/>
  <c r="O159" i="9"/>
  <c r="O163" i="9"/>
  <c r="O167" i="9"/>
  <c r="O164" i="9"/>
  <c r="J164" i="9" s="1"/>
  <c r="O165" i="9"/>
  <c r="O162" i="9"/>
  <c r="J162" i="9" s="1"/>
  <c r="O169" i="9"/>
  <c r="O168" i="9" s="1"/>
  <c r="O174" i="9"/>
  <c r="O175" i="9"/>
  <c r="O176" i="9"/>
  <c r="O177" i="9"/>
  <c r="J177" i="9" s="1"/>
  <c r="O178" i="9"/>
  <c r="O179" i="9"/>
  <c r="J179" i="9" s="1"/>
  <c r="O180" i="9"/>
  <c r="O181" i="9"/>
  <c r="E170" i="9"/>
  <c r="P170" i="9" s="1"/>
  <c r="E153" i="9"/>
  <c r="E168" i="9"/>
  <c r="Q146" i="9"/>
  <c r="L145" i="9"/>
  <c r="L147" i="9"/>
  <c r="M145" i="9"/>
  <c r="M147" i="9"/>
  <c r="M144" i="9" s="1"/>
  <c r="M143" i="9" s="1"/>
  <c r="M142" i="9" s="1"/>
  <c r="N145" i="9"/>
  <c r="N147" i="9"/>
  <c r="N144" i="9"/>
  <c r="O146" i="9"/>
  <c r="O145" i="9"/>
  <c r="O148" i="9"/>
  <c r="J148" i="9" s="1"/>
  <c r="P148" i="9" s="1"/>
  <c r="O149" i="9"/>
  <c r="O150" i="9"/>
  <c r="J150" i="9" s="1"/>
  <c r="O152" i="9"/>
  <c r="J152" i="9"/>
  <c r="O151" i="9"/>
  <c r="O147" i="9"/>
  <c r="G145" i="9"/>
  <c r="G147" i="9"/>
  <c r="G153" i="9"/>
  <c r="G162" i="9"/>
  <c r="G168" i="9"/>
  <c r="G173" i="9"/>
  <c r="H145" i="9"/>
  <c r="H147" i="9"/>
  <c r="H153" i="9"/>
  <c r="H162" i="9"/>
  <c r="H168" i="9"/>
  <c r="H173" i="9"/>
  <c r="J149" i="9"/>
  <c r="J151" i="9"/>
  <c r="J154" i="9"/>
  <c r="J155" i="9"/>
  <c r="J156" i="9"/>
  <c r="J157" i="9"/>
  <c r="J158" i="9"/>
  <c r="J159" i="9"/>
  <c r="J160" i="9"/>
  <c r="J163" i="9"/>
  <c r="J165" i="9"/>
  <c r="J166" i="9"/>
  <c r="J167" i="9"/>
  <c r="J171" i="9"/>
  <c r="J172" i="9"/>
  <c r="J174" i="9"/>
  <c r="J175" i="9"/>
  <c r="J176" i="9"/>
  <c r="J178" i="9"/>
  <c r="J180" i="9"/>
  <c r="L182" i="9"/>
  <c r="O182" i="9"/>
  <c r="J182" i="9"/>
  <c r="J183" i="9"/>
  <c r="E166" i="9"/>
  <c r="P166" i="9" s="1"/>
  <c r="L55" i="9"/>
  <c r="L58" i="9"/>
  <c r="L43" i="9"/>
  <c r="L42" i="9" s="1"/>
  <c r="M55" i="9"/>
  <c r="M58" i="9"/>
  <c r="M43" i="9"/>
  <c r="M42" i="9" s="1"/>
  <c r="N55" i="9"/>
  <c r="N58" i="9"/>
  <c r="N43" i="9"/>
  <c r="O57" i="9"/>
  <c r="O56" i="9"/>
  <c r="O55" i="9" s="1"/>
  <c r="O44" i="9"/>
  <c r="O45" i="9"/>
  <c r="O46" i="9"/>
  <c r="O47" i="9"/>
  <c r="O48" i="9"/>
  <c r="O49" i="9"/>
  <c r="O50" i="9"/>
  <c r="O51" i="9"/>
  <c r="O52" i="9"/>
  <c r="O53" i="9"/>
  <c r="O54" i="9"/>
  <c r="O59" i="9"/>
  <c r="O58" i="9"/>
  <c r="O63" i="9"/>
  <c r="G55" i="9"/>
  <c r="G58" i="9"/>
  <c r="G43" i="9"/>
  <c r="G42" i="9" s="1"/>
  <c r="H55" i="9"/>
  <c r="H58" i="9"/>
  <c r="H43" i="9"/>
  <c r="E165" i="9"/>
  <c r="P165" i="9"/>
  <c r="L14" i="9"/>
  <c r="L37" i="9"/>
  <c r="L39" i="9"/>
  <c r="L27" i="9"/>
  <c r="O28" i="9"/>
  <c r="O29" i="9"/>
  <c r="O30" i="9"/>
  <c r="O31" i="9"/>
  <c r="O32" i="9"/>
  <c r="O33" i="9"/>
  <c r="O34" i="9"/>
  <c r="O35" i="9"/>
  <c r="O36" i="9"/>
  <c r="O38" i="9"/>
  <c r="O37" i="9" s="1"/>
  <c r="O40" i="9"/>
  <c r="O41" i="9"/>
  <c r="O39" i="9" s="1"/>
  <c r="L67" i="9"/>
  <c r="L73" i="9"/>
  <c r="L76" i="9"/>
  <c r="O66" i="9"/>
  <c r="O68" i="9"/>
  <c r="O69" i="9"/>
  <c r="O67" i="9"/>
  <c r="O71" i="9"/>
  <c r="O72" i="9"/>
  <c r="O74" i="9"/>
  <c r="O75" i="9"/>
  <c r="O73" i="9" s="1"/>
  <c r="O76" i="9"/>
  <c r="L80" i="9"/>
  <c r="L79" i="9"/>
  <c r="O81" i="9"/>
  <c r="O82" i="9"/>
  <c r="O80" i="9" s="1"/>
  <c r="L91" i="9"/>
  <c r="L84" i="9" s="1"/>
  <c r="O85" i="9"/>
  <c r="O86" i="9"/>
  <c r="O87" i="9"/>
  <c r="O88" i="9"/>
  <c r="O89" i="9"/>
  <c r="O90" i="9"/>
  <c r="O92" i="9"/>
  <c r="O93" i="9"/>
  <c r="O91" i="9"/>
  <c r="L96" i="9"/>
  <c r="L98" i="9"/>
  <c r="L100" i="9"/>
  <c r="L102" i="9"/>
  <c r="L104" i="9"/>
  <c r="L107" i="9"/>
  <c r="L110" i="9"/>
  <c r="L114" i="9"/>
  <c r="L116" i="9"/>
  <c r="O97" i="9"/>
  <c r="O96" i="9"/>
  <c r="J96" i="9" s="1"/>
  <c r="O99" i="9"/>
  <c r="O98" i="9"/>
  <c r="J98" i="9" s="1"/>
  <c r="O101" i="9"/>
  <c r="O100" i="9"/>
  <c r="O105" i="9"/>
  <c r="O106" i="9"/>
  <c r="O104" i="9" s="1"/>
  <c r="O108" i="9"/>
  <c r="O109" i="9"/>
  <c r="O107" i="9"/>
  <c r="J107" i="9" s="1"/>
  <c r="O112" i="9"/>
  <c r="O113" i="9"/>
  <c r="O115" i="9"/>
  <c r="O114" i="9"/>
  <c r="O117" i="9"/>
  <c r="O118" i="9"/>
  <c r="O116" i="9" s="1"/>
  <c r="J116" i="9"/>
  <c r="L122" i="9"/>
  <c r="L126" i="9"/>
  <c r="L125" i="9"/>
  <c r="L124" i="9"/>
  <c r="O121" i="9"/>
  <c r="O123" i="9"/>
  <c r="O122" i="9" s="1"/>
  <c r="O126" i="9"/>
  <c r="O125" i="9"/>
  <c r="O124" i="9"/>
  <c r="L128" i="9"/>
  <c r="L127" i="9"/>
  <c r="O129" i="9"/>
  <c r="O128" i="9"/>
  <c r="L134" i="9"/>
  <c r="L133" i="9"/>
  <c r="O131" i="9"/>
  <c r="O130" i="9" s="1"/>
  <c r="J59" i="9"/>
  <c r="E59" i="9"/>
  <c r="P59" i="9" s="1"/>
  <c r="E136" i="9"/>
  <c r="M122" i="9"/>
  <c r="M124" i="9"/>
  <c r="M120" i="9" s="1"/>
  <c r="N122" i="9"/>
  <c r="N124" i="9"/>
  <c r="N120" i="9"/>
  <c r="N119" i="9" s="1"/>
  <c r="G122" i="9"/>
  <c r="G124" i="9"/>
  <c r="G120" i="9"/>
  <c r="G119" i="9" s="1"/>
  <c r="H122" i="9"/>
  <c r="H124" i="9"/>
  <c r="H120" i="9"/>
  <c r="H119" i="9" s="1"/>
  <c r="E62" i="9"/>
  <c r="J62" i="9"/>
  <c r="P62" i="9"/>
  <c r="E22" i="9"/>
  <c r="P22" i="9"/>
  <c r="E23" i="9"/>
  <c r="P23" i="9"/>
  <c r="E24" i="9"/>
  <c r="J24" i="9"/>
  <c r="P24" i="9" s="1"/>
  <c r="E178" i="9"/>
  <c r="E179" i="9"/>
  <c r="P178" i="9"/>
  <c r="P179" i="9"/>
  <c r="E176" i="9"/>
  <c r="P176" i="9" s="1"/>
  <c r="E177" i="9"/>
  <c r="P177" i="9" s="1"/>
  <c r="E180" i="9"/>
  <c r="P180" i="9" s="1"/>
  <c r="E175" i="9"/>
  <c r="P175" i="9" s="1"/>
  <c r="E174" i="9"/>
  <c r="P174" i="9" s="1"/>
  <c r="E171" i="9"/>
  <c r="P171" i="9" s="1"/>
  <c r="E169" i="9"/>
  <c r="E141" i="9"/>
  <c r="J141" i="9"/>
  <c r="P141" i="9"/>
  <c r="E140" i="9"/>
  <c r="J140" i="9"/>
  <c r="P140" i="9" s="1"/>
  <c r="J137" i="9"/>
  <c r="J138" i="9"/>
  <c r="E138" i="9"/>
  <c r="P138" i="9" s="1"/>
  <c r="E137" i="9"/>
  <c r="P137" i="9" s="1"/>
  <c r="G134" i="9"/>
  <c r="G14" i="9"/>
  <c r="G31" i="9"/>
  <c r="G36" i="9"/>
  <c r="G37" i="9"/>
  <c r="G39" i="9"/>
  <c r="G27" i="9"/>
  <c r="G26" i="9" s="1"/>
  <c r="G67" i="9"/>
  <c r="G73" i="9"/>
  <c r="G76" i="9"/>
  <c r="G80" i="9"/>
  <c r="G79" i="9"/>
  <c r="G78" i="9" s="1"/>
  <c r="G91" i="9"/>
  <c r="G84" i="9" s="1"/>
  <c r="G83" i="9" s="1"/>
  <c r="G96" i="9"/>
  <c r="G98" i="9"/>
  <c r="G95" i="9" s="1"/>
  <c r="G94" i="9" s="1"/>
  <c r="G100" i="9"/>
  <c r="G102" i="9"/>
  <c r="G104" i="9"/>
  <c r="G107" i="9"/>
  <c r="G110" i="9"/>
  <c r="G114" i="9"/>
  <c r="G116" i="9"/>
  <c r="G128" i="9"/>
  <c r="G127" i="9" s="1"/>
  <c r="G182" i="9"/>
  <c r="G131" i="9"/>
  <c r="H134" i="9"/>
  <c r="H14" i="9"/>
  <c r="H37" i="9"/>
  <c r="H39" i="9"/>
  <c r="H27" i="9"/>
  <c r="H26" i="9" s="1"/>
  <c r="H42" i="9"/>
  <c r="H67" i="9"/>
  <c r="H73" i="9"/>
  <c r="H65" i="9" s="1"/>
  <c r="H64" i="9" s="1"/>
  <c r="H76" i="9"/>
  <c r="H80" i="9"/>
  <c r="H79" i="9" s="1"/>
  <c r="H78" i="9" s="1"/>
  <c r="H91" i="9"/>
  <c r="H84" i="9"/>
  <c r="H83" i="9" s="1"/>
  <c r="H96" i="9"/>
  <c r="H98" i="9"/>
  <c r="H100" i="9"/>
  <c r="H102" i="9"/>
  <c r="H104" i="9"/>
  <c r="H107" i="9"/>
  <c r="H110" i="9"/>
  <c r="H114" i="9"/>
  <c r="H116" i="9"/>
  <c r="H128" i="9"/>
  <c r="H127" i="9"/>
  <c r="H182" i="9"/>
  <c r="H131" i="9"/>
  <c r="N134" i="9"/>
  <c r="M134" i="9"/>
  <c r="M14" i="9"/>
  <c r="M37" i="9"/>
  <c r="M39" i="9"/>
  <c r="M27" i="9"/>
  <c r="M26" i="9" s="1"/>
  <c r="M67" i="9"/>
  <c r="M73" i="9"/>
  <c r="M76" i="9"/>
  <c r="M80" i="9"/>
  <c r="M79" i="9"/>
  <c r="M78" i="9" s="1"/>
  <c r="M91" i="9"/>
  <c r="M84" i="9" s="1"/>
  <c r="M83" i="9" s="1"/>
  <c r="M96" i="9"/>
  <c r="M98" i="9"/>
  <c r="M95" i="9" s="1"/>
  <c r="M94" i="9" s="1"/>
  <c r="M100" i="9"/>
  <c r="M102" i="9"/>
  <c r="M104" i="9"/>
  <c r="M107" i="9"/>
  <c r="M110" i="9"/>
  <c r="M114" i="9"/>
  <c r="M116" i="9"/>
  <c r="M119" i="9"/>
  <c r="M128" i="9"/>
  <c r="M127" i="9"/>
  <c r="M182" i="9"/>
  <c r="M131" i="9"/>
  <c r="M130" i="9" s="1"/>
  <c r="N14" i="9"/>
  <c r="N37" i="9"/>
  <c r="N39" i="9"/>
  <c r="N27" i="9"/>
  <c r="N26" i="9" s="1"/>
  <c r="N42" i="9"/>
  <c r="N67" i="9"/>
  <c r="N73" i="9"/>
  <c r="N77" i="9"/>
  <c r="N76" i="9"/>
  <c r="J76" i="9" s="1"/>
  <c r="N80" i="9"/>
  <c r="N79" i="9"/>
  <c r="N78" i="9" s="1"/>
  <c r="N91" i="9"/>
  <c r="N84" i="9" s="1"/>
  <c r="N83" i="9" s="1"/>
  <c r="N96" i="9"/>
  <c r="N98" i="9"/>
  <c r="N100" i="9"/>
  <c r="N102" i="9"/>
  <c r="N104" i="9"/>
  <c r="N107" i="9"/>
  <c r="N110" i="9"/>
  <c r="N114" i="9"/>
  <c r="N116" i="9"/>
  <c r="N95" i="9"/>
  <c r="N94" i="9" s="1"/>
  <c r="N128" i="9"/>
  <c r="N127" i="9" s="1"/>
  <c r="N182" i="9"/>
  <c r="N131" i="9"/>
  <c r="J129" i="9"/>
  <c r="J132" i="9"/>
  <c r="E133" i="9"/>
  <c r="E132" i="9"/>
  <c r="P132" i="9" s="1"/>
  <c r="F130" i="9"/>
  <c r="I130" i="9"/>
  <c r="E130" i="9"/>
  <c r="K130" i="9"/>
  <c r="N130" i="9"/>
  <c r="H130" i="9"/>
  <c r="G130" i="9"/>
  <c r="J125" i="9"/>
  <c r="E125" i="9"/>
  <c r="P125" i="9"/>
  <c r="E77" i="9"/>
  <c r="J77" i="9"/>
  <c r="P77" i="9" s="1"/>
  <c r="E76" i="9"/>
  <c r="P76" i="9" s="1"/>
  <c r="E157" i="9"/>
  <c r="P157" i="9"/>
  <c r="E158" i="9"/>
  <c r="E159" i="9"/>
  <c r="P159" i="9" s="1"/>
  <c r="P158" i="9"/>
  <c r="E156" i="9"/>
  <c r="P156" i="9"/>
  <c r="E155" i="9"/>
  <c r="P155" i="9"/>
  <c r="E27" i="9"/>
  <c r="J29" i="9"/>
  <c r="J30" i="9"/>
  <c r="J31" i="9"/>
  <c r="J32" i="9"/>
  <c r="J33" i="9"/>
  <c r="J34" i="9"/>
  <c r="J35" i="9"/>
  <c r="J36" i="9"/>
  <c r="J38" i="9"/>
  <c r="J39" i="9"/>
  <c r="J40" i="9"/>
  <c r="J41" i="9"/>
  <c r="J123" i="9"/>
  <c r="E123" i="9"/>
  <c r="P123" i="9"/>
  <c r="E126" i="9"/>
  <c r="J126" i="9"/>
  <c r="P126" i="9" s="1"/>
  <c r="E139" i="9"/>
  <c r="J139" i="9"/>
  <c r="P139" i="9"/>
  <c r="E148" i="9"/>
  <c r="E147" i="9"/>
  <c r="E146" i="9"/>
  <c r="J146" i="9"/>
  <c r="P146" i="9"/>
  <c r="E73" i="9"/>
  <c r="J73" i="9"/>
  <c r="P73" i="9" s="1"/>
  <c r="E67" i="9"/>
  <c r="J18" i="9"/>
  <c r="E18" i="9"/>
  <c r="P18" i="9" s="1"/>
  <c r="J19" i="9"/>
  <c r="J21" i="9"/>
  <c r="J122" i="9"/>
  <c r="E124" i="9"/>
  <c r="J93" i="9"/>
  <c r="J97" i="9"/>
  <c r="J99" i="9"/>
  <c r="J101" i="9"/>
  <c r="J105" i="9"/>
  <c r="J106" i="9"/>
  <c r="J108" i="9"/>
  <c r="J109" i="9"/>
  <c r="J112" i="9"/>
  <c r="J113" i="9"/>
  <c r="J114" i="9"/>
  <c r="J115" i="9"/>
  <c r="J117" i="9"/>
  <c r="J118" i="9"/>
  <c r="O70" i="9"/>
  <c r="J70" i="9" s="1"/>
  <c r="P70" i="9" s="1"/>
  <c r="J92" i="9"/>
  <c r="E92" i="9"/>
  <c r="P92" i="9" s="1"/>
  <c r="E93" i="9"/>
  <c r="P93" i="9" s="1"/>
  <c r="J81" i="9"/>
  <c r="J82" i="9"/>
  <c r="E81" i="9"/>
  <c r="P81" i="9" s="1"/>
  <c r="E82" i="9"/>
  <c r="P82" i="9" s="1"/>
  <c r="E154" i="9"/>
  <c r="P154" i="9" s="1"/>
  <c r="E40" i="9"/>
  <c r="E41" i="9"/>
  <c r="E38" i="9"/>
  <c r="P38" i="9" s="1"/>
  <c r="E39" i="9"/>
  <c r="P39" i="9" s="1"/>
  <c r="P40" i="9"/>
  <c r="P41" i="9"/>
  <c r="E118" i="9"/>
  <c r="P118" i="9" s="1"/>
  <c r="E117" i="9"/>
  <c r="P117" i="9" s="1"/>
  <c r="E116" i="9"/>
  <c r="P116" i="9" s="1"/>
  <c r="E115" i="9"/>
  <c r="P115" i="9" s="1"/>
  <c r="E114" i="9"/>
  <c r="P114" i="9" s="1"/>
  <c r="E113" i="9"/>
  <c r="P113" i="9" s="1"/>
  <c r="E112" i="9"/>
  <c r="P112" i="9" s="1"/>
  <c r="E111" i="9"/>
  <c r="E110" i="9"/>
  <c r="E109" i="9"/>
  <c r="P109" i="9" s="1"/>
  <c r="E108" i="9"/>
  <c r="P108" i="9" s="1"/>
  <c r="E107" i="9"/>
  <c r="E106" i="9"/>
  <c r="P106" i="9" s="1"/>
  <c r="E105" i="9"/>
  <c r="P105" i="9" s="1"/>
  <c r="E104" i="9"/>
  <c r="E103" i="9"/>
  <c r="E102" i="9"/>
  <c r="E101" i="9"/>
  <c r="P101" i="9"/>
  <c r="E100" i="9"/>
  <c r="E99" i="9"/>
  <c r="P99" i="9"/>
  <c r="E98" i="9"/>
  <c r="P98" i="9"/>
  <c r="E97" i="9"/>
  <c r="P97" i="9"/>
  <c r="E96" i="9"/>
  <c r="P96" i="9"/>
  <c r="E72" i="9"/>
  <c r="J72" i="9"/>
  <c r="P72" i="9" s="1"/>
  <c r="E70" i="9"/>
  <c r="E74" i="9"/>
  <c r="J74" i="9"/>
  <c r="P74" i="9" s="1"/>
  <c r="E75" i="9"/>
  <c r="J75" i="9"/>
  <c r="P75" i="9"/>
  <c r="J68" i="9"/>
  <c r="J69" i="9"/>
  <c r="E68" i="9"/>
  <c r="P68" i="9"/>
  <c r="E69" i="9"/>
  <c r="P69" i="9"/>
  <c r="E164" i="9"/>
  <c r="P164" i="9"/>
  <c r="J56" i="9"/>
  <c r="J57" i="9"/>
  <c r="E56" i="9"/>
  <c r="P56" i="9"/>
  <c r="E57" i="9"/>
  <c r="P57" i="9"/>
  <c r="J16" i="9"/>
  <c r="J66" i="9"/>
  <c r="E29" i="9"/>
  <c r="P29" i="9"/>
  <c r="E30" i="9"/>
  <c r="P30" i="9"/>
  <c r="E31" i="9"/>
  <c r="P31" i="9"/>
  <c r="E32" i="9"/>
  <c r="P32" i="9"/>
  <c r="E33" i="9"/>
  <c r="P33" i="9"/>
  <c r="E34" i="9"/>
  <c r="P34" i="9"/>
  <c r="E35" i="9"/>
  <c r="P35" i="9"/>
  <c r="E36" i="9"/>
  <c r="P36" i="9"/>
  <c r="E37" i="9"/>
  <c r="E71" i="9"/>
  <c r="P71" i="9"/>
  <c r="J71" i="9"/>
  <c r="E28" i="9"/>
  <c r="J28" i="9"/>
  <c r="P28" i="9"/>
  <c r="E150" i="9"/>
  <c r="P150" i="9"/>
  <c r="E151" i="9"/>
  <c r="P151" i="9"/>
  <c r="E152" i="9"/>
  <c r="E66" i="9"/>
  <c r="P66" i="9" s="1"/>
  <c r="E160" i="9"/>
  <c r="P160" i="9" s="1"/>
  <c r="E122" i="9"/>
  <c r="P122" i="9" s="1"/>
  <c r="E145" i="9"/>
  <c r="P145" i="9" s="1"/>
  <c r="E120" i="9"/>
  <c r="E121" i="9"/>
  <c r="P121" i="9" s="1"/>
  <c r="E16" i="9"/>
  <c r="P16" i="9"/>
  <c r="E17" i="9"/>
  <c r="J17" i="9"/>
  <c r="P17" i="9" s="1"/>
  <c r="E19" i="9"/>
  <c r="P19" i="9" s="1"/>
  <c r="E20" i="9"/>
  <c r="E21" i="9"/>
  <c r="P21" i="9"/>
  <c r="E128" i="9"/>
  <c r="E129" i="9"/>
  <c r="P129" i="9" s="1"/>
  <c r="E43" i="9"/>
  <c r="E44" i="9"/>
  <c r="J44" i="9"/>
  <c r="P44" i="9" s="1"/>
  <c r="E45" i="9"/>
  <c r="J45" i="9"/>
  <c r="P45" i="9"/>
  <c r="E46" i="9"/>
  <c r="J46" i="9"/>
  <c r="P46" i="9" s="1"/>
  <c r="E47" i="9"/>
  <c r="J47" i="9"/>
  <c r="P47" i="9"/>
  <c r="E48" i="9"/>
  <c r="J48" i="9"/>
  <c r="P48" i="9" s="1"/>
  <c r="E49" i="9"/>
  <c r="J49" i="9"/>
  <c r="P49" i="9"/>
  <c r="E50" i="9"/>
  <c r="J50" i="9"/>
  <c r="P50" i="9" s="1"/>
  <c r="E51" i="9"/>
  <c r="J51" i="9"/>
  <c r="P51" i="9"/>
  <c r="E52" i="9"/>
  <c r="J52" i="9"/>
  <c r="P52" i="9" s="1"/>
  <c r="E53" i="9"/>
  <c r="J53" i="9"/>
  <c r="P53" i="9"/>
  <c r="E54" i="9"/>
  <c r="J54" i="9"/>
  <c r="P54" i="9" s="1"/>
  <c r="E55" i="9"/>
  <c r="E58" i="9"/>
  <c r="J58" i="9"/>
  <c r="P58" i="9" s="1"/>
  <c r="E60" i="9"/>
  <c r="P60" i="9" s="1"/>
  <c r="E63" i="9"/>
  <c r="J63" i="9"/>
  <c r="P63" i="9" s="1"/>
  <c r="E80" i="9"/>
  <c r="E85" i="9"/>
  <c r="J85" i="9"/>
  <c r="P85" i="9" s="1"/>
  <c r="E86" i="9"/>
  <c r="J86" i="9"/>
  <c r="P86" i="9"/>
  <c r="J87" i="9"/>
  <c r="E87" i="9"/>
  <c r="P87" i="9" s="1"/>
  <c r="J88" i="9"/>
  <c r="E88" i="9"/>
  <c r="P88" i="9"/>
  <c r="E89" i="9"/>
  <c r="J89" i="9"/>
  <c r="P89" i="9" s="1"/>
  <c r="E90" i="9"/>
  <c r="J90" i="9"/>
  <c r="P90" i="9"/>
  <c r="E91" i="9"/>
  <c r="J121" i="9"/>
  <c r="J145" i="9"/>
  <c r="E149" i="9"/>
  <c r="P149" i="9" s="1"/>
  <c r="P152" i="9"/>
  <c r="E161" i="9"/>
  <c r="P161" i="9"/>
  <c r="E163" i="9"/>
  <c r="P163" i="9"/>
  <c r="E167" i="9"/>
  <c r="P167" i="9"/>
  <c r="E172" i="9"/>
  <c r="P172" i="9"/>
  <c r="E181" i="9"/>
  <c r="E182" i="9"/>
  <c r="P182" i="9"/>
  <c r="E183" i="9"/>
  <c r="P183" i="9"/>
  <c r="L120" i="9"/>
  <c r="J124" i="9"/>
  <c r="P124" i="9" s="1"/>
  <c r="J104" i="9"/>
  <c r="O79" i="9"/>
  <c r="O78" i="9"/>
  <c r="J80" i="9"/>
  <c r="P80" i="9"/>
  <c r="L78" i="9"/>
  <c r="J78" i="9"/>
  <c r="E15" i="9"/>
  <c r="F14" i="9"/>
  <c r="O15" i="9"/>
  <c r="J15" i="9" s="1"/>
  <c r="P15" i="9" s="1"/>
  <c r="J20" i="9"/>
  <c r="P20" i="9"/>
  <c r="O127" i="9"/>
  <c r="J127" i="9" s="1"/>
  <c r="P127" i="9" s="1"/>
  <c r="J128" i="9"/>
  <c r="P128" i="9"/>
  <c r="O84" i="9"/>
  <c r="O83" i="9"/>
  <c r="J91" i="9"/>
  <c r="P91" i="9"/>
  <c r="L83" i="9"/>
  <c r="J83" i="9"/>
  <c r="J84" i="9"/>
  <c r="O65" i="9"/>
  <c r="L26" i="9"/>
  <c r="O43" i="9"/>
  <c r="J43" i="9" s="1"/>
  <c r="P43" i="9" s="1"/>
  <c r="J55" i="9"/>
  <c r="P55" i="9"/>
  <c r="F83" i="9"/>
  <c r="E83" i="9"/>
  <c r="P83" i="9" s="1"/>
  <c r="E84" i="9"/>
  <c r="P84" i="9" s="1"/>
  <c r="F78" i="9"/>
  <c r="E78" i="9" s="1"/>
  <c r="P78" i="9" s="1"/>
  <c r="E79" i="9"/>
  <c r="F64" i="9"/>
  <c r="F144" i="9"/>
  <c r="E162" i="9"/>
  <c r="P162" i="9" s="1"/>
  <c r="P104" i="9"/>
  <c r="O27" i="9"/>
  <c r="O26" i="9" s="1"/>
  <c r="E119" i="9"/>
  <c r="O136" i="9"/>
  <c r="O135" i="9"/>
  <c r="O134" i="9" s="1"/>
  <c r="J134" i="9" s="1"/>
  <c r="J136" i="9"/>
  <c r="P136" i="9"/>
  <c r="F143" i="9"/>
  <c r="O42" i="9"/>
  <c r="J42" i="9" s="1"/>
  <c r="P42" i="9" s="1"/>
  <c r="O64" i="9"/>
  <c r="E14" i="9"/>
  <c r="J79" i="9"/>
  <c r="P79" i="9" s="1"/>
  <c r="O14" i="9"/>
  <c r="J14" i="9" s="1"/>
  <c r="L119" i="9"/>
  <c r="J27" i="9"/>
  <c r="P27" i="9" s="1"/>
  <c r="F142" i="9"/>
  <c r="J135" i="9"/>
  <c r="J26" i="9" l="1"/>
  <c r="P26" i="9" s="1"/>
  <c r="H184" i="9"/>
  <c r="P14" i="9"/>
  <c r="P107" i="9"/>
  <c r="M65" i="9"/>
  <c r="M64" i="9" s="1"/>
  <c r="M184" i="9" s="1"/>
  <c r="H95" i="9"/>
  <c r="H94" i="9" s="1"/>
  <c r="G65" i="9"/>
  <c r="G64" i="9" s="1"/>
  <c r="L65" i="9"/>
  <c r="G144" i="9"/>
  <c r="G143" i="9" s="1"/>
  <c r="G142" i="9" s="1"/>
  <c r="J147" i="9"/>
  <c r="P147" i="9" s="1"/>
  <c r="J67" i="9"/>
  <c r="P67" i="9" s="1"/>
  <c r="N65" i="9"/>
  <c r="N64" i="9" s="1"/>
  <c r="N184" i="9" s="1"/>
  <c r="L131" i="9"/>
  <c r="J133" i="9"/>
  <c r="P133" i="9" s="1"/>
  <c r="O120" i="9"/>
  <c r="J100" i="9"/>
  <c r="P100" i="9" s="1"/>
  <c r="L95" i="9"/>
  <c r="J37" i="9"/>
  <c r="P37" i="9" s="1"/>
  <c r="H144" i="9"/>
  <c r="H143" i="9" s="1"/>
  <c r="H142" i="9" s="1"/>
  <c r="N143" i="9"/>
  <c r="N142" i="9" s="1"/>
  <c r="O173" i="9"/>
  <c r="O153" i="9"/>
  <c r="J153" i="9" s="1"/>
  <c r="P153" i="9" s="1"/>
  <c r="L168" i="9"/>
  <c r="J168" i="9" s="1"/>
  <c r="P168" i="9" s="1"/>
  <c r="J169" i="9"/>
  <c r="P169" i="9" s="1"/>
  <c r="I65" i="9"/>
  <c r="I144" i="9"/>
  <c r="L173" i="9"/>
  <c r="J173" i="9" s="1"/>
  <c r="J181" i="9"/>
  <c r="P181" i="9" s="1"/>
  <c r="I95" i="9"/>
  <c r="E173" i="9"/>
  <c r="P173" i="9" s="1"/>
  <c r="F135" i="9"/>
  <c r="K110" i="9"/>
  <c r="O111" i="9"/>
  <c r="K102" i="9"/>
  <c r="K95" i="9" s="1"/>
  <c r="K94" i="9" s="1"/>
  <c r="O103" i="9"/>
  <c r="K27" i="9"/>
  <c r="K26" i="9" s="1"/>
  <c r="K60" i="9"/>
  <c r="K43" i="9" s="1"/>
  <c r="K42" i="9" s="1"/>
  <c r="K184" i="9" l="1"/>
  <c r="I143" i="9"/>
  <c r="E144" i="9"/>
  <c r="O144" i="9"/>
  <c r="O143" i="9" s="1"/>
  <c r="O142" i="9" s="1"/>
  <c r="G184" i="9"/>
  <c r="O102" i="9"/>
  <c r="J103" i="9"/>
  <c r="P103" i="9" s="1"/>
  <c r="O110" i="9"/>
  <c r="J110" i="9" s="1"/>
  <c r="P110" i="9" s="1"/>
  <c r="J111" i="9"/>
  <c r="P111" i="9" s="1"/>
  <c r="E135" i="9"/>
  <c r="P135" i="9" s="1"/>
  <c r="F134" i="9"/>
  <c r="E95" i="9"/>
  <c r="I94" i="9"/>
  <c r="E94" i="9" s="1"/>
  <c r="I64" i="9"/>
  <c r="E65" i="9"/>
  <c r="P65" i="9" s="1"/>
  <c r="L94" i="9"/>
  <c r="O119" i="9"/>
  <c r="J119" i="9" s="1"/>
  <c r="P119" i="9" s="1"/>
  <c r="J120" i="9"/>
  <c r="P120" i="9" s="1"/>
  <c r="J131" i="9"/>
  <c r="P131" i="9" s="1"/>
  <c r="L130" i="9"/>
  <c r="J130" i="9" s="1"/>
  <c r="P130" i="9" s="1"/>
  <c r="R130" i="9" s="1"/>
  <c r="L144" i="9"/>
  <c r="L64" i="9"/>
  <c r="J65" i="9"/>
  <c r="J64" i="9" l="1"/>
  <c r="E134" i="9"/>
  <c r="P134" i="9" s="1"/>
  <c r="F184" i="9"/>
  <c r="I142" i="9"/>
  <c r="E142" i="9" s="1"/>
  <c r="E143" i="9"/>
  <c r="J144" i="9"/>
  <c r="L143" i="9"/>
  <c r="E64" i="9"/>
  <c r="J102" i="9"/>
  <c r="P102" i="9" s="1"/>
  <c r="O95" i="9"/>
  <c r="P144" i="9"/>
  <c r="P64" i="9" l="1"/>
  <c r="E184" i="9"/>
  <c r="O94" i="9"/>
  <c r="J95" i="9"/>
  <c r="P95" i="9" s="1"/>
  <c r="I184" i="9"/>
  <c r="L142" i="9"/>
  <c r="J143" i="9"/>
  <c r="P143" i="9" s="1"/>
  <c r="O184" i="9" l="1"/>
  <c r="J94" i="9"/>
  <c r="J142" i="9"/>
  <c r="P142" i="9" s="1"/>
  <c r="L184" i="9"/>
  <c r="P94" i="9" l="1"/>
  <c r="P184" i="9" s="1"/>
  <c r="J184" i="9"/>
</calcChain>
</file>

<file path=xl/sharedStrings.xml><?xml version="1.0" encoding="utf-8"?>
<sst xmlns="http://schemas.openxmlformats.org/spreadsheetml/2006/main" count="536" uniqueCount="404">
  <si>
    <t>з них</t>
  </si>
  <si>
    <t>оплата праці</t>
  </si>
  <si>
    <t>комунальні послуги та енергоносії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</si>
  <si>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</si>
  <si>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</si>
  <si>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</si>
  <si>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</si>
  <si>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</si>
  <si>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</si>
  <si>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</si>
  <si>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Загальнообласні видатки</t>
  </si>
  <si>
    <t>0800000</t>
  </si>
  <si>
    <t>0810000</t>
  </si>
  <si>
    <t>видатки споживання</t>
  </si>
  <si>
    <t>видатки розвитку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</si>
  <si>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</si>
  <si>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</si>
  <si>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</si>
  <si>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</si>
  <si>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</si>
  <si>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</si>
  <si>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</si>
  <si>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</si>
  <si>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</si>
  <si>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</si>
  <si>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</si>
  <si>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</si>
  <si>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</si>
  <si>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</si>
  <si>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</si>
  <si>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</si>
  <si>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</si>
  <si>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</si>
  <si>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</si>
  <si>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</si>
  <si>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</si>
  <si>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</si>
  <si>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</si>
  <si>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</si>
  <si>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</si>
  <si>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</si>
  <si>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</si>
  <si>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</si>
  <si>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</si>
  <si>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</si>
  <si>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</si>
  <si>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</si>
  <si>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</si>
  <si>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</si>
  <si>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</si>
  <si>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</si>
  <si>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</si>
  <si>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</si>
  <si>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</si>
  <si>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</si>
  <si>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</si>
  <si>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</si>
  <si>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t>4020</t>
  </si>
  <si>
    <t>0821</t>
  </si>
  <si>
    <t>0822</t>
  </si>
  <si>
    <t>4080</t>
  </si>
  <si>
    <t>0827</t>
  </si>
  <si>
    <t>3140</t>
  </si>
  <si>
    <t>5060</t>
  </si>
  <si>
    <t>Загальний фонд</t>
  </si>
  <si>
    <t>Спеціальний фонд</t>
  </si>
  <si>
    <t>5010</t>
  </si>
  <si>
    <t>5020</t>
  </si>
  <si>
    <t>Проведення спортивної роботи в регіоні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</si>
  <si>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</si>
  <si>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</si>
  <si>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</si>
  <si>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</si>
  <si>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</si>
  <si>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</si>
  <si>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t>Розвиток дитячо-юнацького та резервного спорту</t>
  </si>
  <si>
    <t>5030</t>
  </si>
  <si>
    <t>Інші заходи з розвитку фізичної культури та спорту</t>
  </si>
  <si>
    <t>Реалізація державної політики у молодіжній сфері</t>
  </si>
  <si>
    <t>5050</t>
  </si>
  <si>
    <t>Підтримка фізкультурно-спортивного руху</t>
  </si>
  <si>
    <t xml:space="preserve">Додаток 3
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</si>
  <si>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</si>
  <si>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</si>
  <si>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</si>
  <si>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</si>
  <si>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</si>
  <si>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</si>
  <si>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</si>
  <si>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</si>
  <si>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</si>
  <si>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</si>
  <si>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</si>
  <si>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</si>
  <si>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</si>
  <si>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</si>
  <si>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</si>
  <si>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</si>
  <si>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</si>
  <si>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</si>
  <si>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</si>
  <si>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0615010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</si>
  <si>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</si>
  <si>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</si>
  <si>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</si>
  <si>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</si>
  <si>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9250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</si>
  <si>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</si>
  <si>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</si>
  <si>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</si>
  <si>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</si>
  <si>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</si>
  <si>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</si>
  <si>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</si>
  <si>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</si>
  <si>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</si>
  <si>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</si>
  <si>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</si>
  <si>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</si>
  <si>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</si>
  <si>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</si>
  <si>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</si>
  <si>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</si>
  <si>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</si>
  <si>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</si>
  <si>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</si>
  <si>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</si>
  <si>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</si>
  <si>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</si>
  <si>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</si>
  <si>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</si>
  <si>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</si>
  <si>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</si>
  <si>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</si>
  <si>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</si>
  <si>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</si>
  <si>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3190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</si>
  <si>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</si>
  <si>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</si>
  <si>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0813190</t>
  </si>
  <si>
    <t>0900000</t>
  </si>
  <si>
    <t>0910000</t>
  </si>
  <si>
    <t>0913110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</si>
  <si>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</si>
  <si>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</si>
  <si>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</si>
  <si>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</si>
  <si>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</si>
  <si>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</si>
  <si>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</si>
  <si>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</si>
  <si>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</si>
  <si>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</si>
  <si>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</si>
  <si>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</si>
  <si>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</si>
  <si>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</si>
  <si>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</si>
  <si>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</si>
  <si>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</si>
  <si>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</si>
  <si>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</si>
  <si>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</si>
  <si>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</si>
  <si>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</si>
  <si>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</si>
  <si>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</si>
  <si>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0712150</t>
  </si>
  <si>
    <t>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</si>
  <si>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</si>
  <si>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</si>
  <si>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</si>
  <si>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</si>
  <si>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</si>
  <si>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</si>
  <si>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3240</t>
  </si>
  <si>
    <t>Інші заходи у сфері засобів масової інформації</t>
  </si>
  <si>
    <t>8420</t>
  </si>
  <si>
    <t>0113240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</si>
  <si>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</si>
  <si>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</si>
  <si>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</si>
  <si>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</si>
  <si>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</si>
  <si>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</si>
  <si>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</si>
  <si>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</si>
  <si>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</si>
  <si>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</si>
  <si>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</si>
  <si>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</si>
  <si>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</si>
  <si>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</si>
  <si>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</si>
  <si>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</si>
  <si>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</si>
  <si>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</si>
  <si>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</si>
  <si>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</si>
  <si>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фізкультурно-спортивної та реабілітаційної роботи серед осіб з інвалідністю</t>
  </si>
  <si>
    <t>Інші програми та заходи, пов'язані з економічною діяльністю</t>
  </si>
  <si>
    <t>0117600</t>
  </si>
  <si>
    <t>0490</t>
  </si>
  <si>
    <t>Дотації з місцевого бюджету іншим бюджетам</t>
  </si>
  <si>
    <t>Міжбюджетні трансферти</t>
  </si>
  <si>
    <t>7360</t>
  </si>
  <si>
    <t>Виконання інвестиційних проектів</t>
  </si>
  <si>
    <t>0717360</t>
  </si>
  <si>
    <t>7320</t>
  </si>
  <si>
    <t>Будівництво об'єктів соціально-культурного призначення</t>
  </si>
  <si>
    <t xml:space="preserve">Реалізація державних та місцевих житлових програм </t>
  </si>
  <si>
    <t>3719800</t>
  </si>
  <si>
    <t>9800</t>
  </si>
  <si>
    <t>0717320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</si>
  <si>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</si>
  <si>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</si>
  <si>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9330</t>
  </si>
  <si>
    <t>3048</t>
  </si>
  <si>
    <t>Надання при народженні дитини одноразової натуральної допомоги "пакунок малюка"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</si>
  <si>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</si>
  <si>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Розподіл видатків обласного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</si>
  <si>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</si>
  <si>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</si>
  <si>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</si>
  <si>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</si>
  <si>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</si>
  <si>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</si>
  <si>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</si>
  <si>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(грн)</t>
  </si>
  <si>
    <t>у тому числі бюджет розвитку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</si>
  <si>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</si>
  <si>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</si>
  <si>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</si>
  <si>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</si>
  <si>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</si>
  <si>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</si>
  <si>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</si>
  <si>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</si>
  <si>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</si>
  <si>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</si>
  <si>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</si>
  <si>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</si>
  <si>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</si>
  <si>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</si>
  <si>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</si>
  <si>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</si>
  <si>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</si>
  <si>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</si>
  <si>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</si>
  <si>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0813048</t>
  </si>
  <si>
    <t>3111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</si>
  <si>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</si>
  <si>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</si>
  <si>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</si>
  <si>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</si>
  <si>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</si>
  <si>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</si>
  <si>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</si>
  <si>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</si>
  <si>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</si>
  <si>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</si>
  <si>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</si>
  <si>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 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</si>
  <si>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</si>
  <si>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</si>
  <si>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</si>
  <si>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</si>
  <si>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</si>
  <si>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</si>
  <si>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</si>
  <si>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</si>
  <si>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</si>
  <si>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</si>
  <si>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</si>
  <si>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</si>
  <si>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0611161</t>
  </si>
  <si>
    <t>0990</t>
  </si>
  <si>
    <t>Забезпечення діяльності інших закладів у сфері освіти</t>
  </si>
  <si>
    <t>0615011</t>
  </si>
  <si>
    <t>0615012</t>
  </si>
  <si>
    <t>9310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</si>
  <si>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</si>
  <si>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0913111</t>
  </si>
  <si>
    <t>0913112</t>
  </si>
  <si>
    <t>3112</t>
  </si>
  <si>
    <t>Заходи державної політики з питань дітей та їх соціального захисту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</si>
  <si>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</si>
  <si>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</si>
  <si>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</si>
  <si>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</si>
  <si>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</si>
  <si>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Утримання та розвиток автомобільних доріг та дорожньої інфраструктури (Обласний територіальний дорожній фонд)</t>
  </si>
  <si>
    <t>Субвенція з місцевого бюджету державному бюджету на виконання програм соціально-економічного розвитку регіонів (Програма розвитку земельних відносин у Хмельницькій області на 2018-2022 роки)</t>
  </si>
  <si>
    <t>0113242</t>
  </si>
  <si>
    <t>0117680</t>
  </si>
  <si>
    <t>7680</t>
  </si>
  <si>
    <t>Членські внески до асоціацій органів місцевого самоврядування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</si>
  <si>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</si>
  <si>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</si>
  <si>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</si>
  <si>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0813240</t>
  </si>
  <si>
    <t>0813140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</si>
  <si>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</si>
  <si>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</si>
  <si>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7630</t>
  </si>
  <si>
    <t>0470</t>
  </si>
  <si>
    <t>Реалізація програм і заходів в галузі зовнішньоекономічної діяльності</t>
  </si>
  <si>
    <t>0456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</si>
  <si>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</si>
  <si>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</si>
  <si>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</si>
  <si>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</si>
  <si>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(закупівля україномовних дедактичних матеріалів для закладів загальної середньої освіти з навчання мовами національних меншин)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</si>
  <si>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</si>
  <si>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Субвенція з місцевого бюджету за рахунок залишку коштів освітньої субвенції, що утворився на початок бюджетного періоду (оснащення закладів загальної середньої освіти засобами навчання та обладнанням для кабінетів природничо-математичних предметів)</t>
  </si>
  <si>
    <t>Субвенція з місцевого бюджету за рахунок залишку коштів освітньої субвенції, що утворився на початок бюджетного періоду (забезпечення належних санітарно-гігієнічних умов у приміщеннях закладів загальної середньої освіти)</t>
  </si>
  <si>
    <t>Субвенція з місцевого бюджету за рахунок залишку коштів освітньої субвенції, що утворився на початок бюджетного періоду (придбання медіатек)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</si>
  <si>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</si>
  <si>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</si>
  <si>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</si>
  <si>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</si>
  <si>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</si>
  <si>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державного бюджету (Обласний територіальний дорожній фонд)</t>
  </si>
  <si>
    <t>0421</t>
  </si>
  <si>
    <t xml:space="preserve">Реалізація програм в галузі сільського господарства </t>
  </si>
  <si>
    <t>7460</t>
  </si>
  <si>
    <t>Утримання та розвиток автомобільних доріг та дорожньої інфраструктури</t>
  </si>
  <si>
    <t>7464</t>
  </si>
  <si>
    <t>7640</t>
  </si>
  <si>
    <t>Заходи з енергозбереження</t>
  </si>
  <si>
    <t>7693</t>
  </si>
  <si>
    <t>Інші заходи, пов'язані з економічною діяльністю</t>
  </si>
  <si>
    <t>3719540</t>
  </si>
  <si>
    <t>9540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</si>
  <si>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</si>
  <si>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3719500</t>
  </si>
  <si>
    <t>9500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</si>
  <si>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(Обласний територіальний дорожній фонд)</t>
  </si>
  <si>
    <t>3719740</t>
  </si>
  <si>
    <t>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</si>
  <si>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</si>
  <si>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Субвенція з місцевого бюджету державному бюджету на виконання програм соціально-економічного розвитку регіонів (Комплексна програма профілактики правопорушень та боротьби зі злочинністю на території Хмельницької області на 2016-2020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</si>
  <si>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
Хмельницької області на 2018 – 2019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</si>
  <si>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</si>
  <si>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</si>
  <si>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Субвенція з місцевого бюджету державному бюджету на виконання програм соціально-економічного розвитку регіонів (Обласна програма правової освіти населення на 2016 - 2020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</si>
  <si>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обороноздатності та бойової готовності військових частин Збройних Сил України, які розташовані на території Хмельницької області, на 2018-2019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</si>
  <si>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"Територіальна оборона на 2017 - 2020 роки")</t>
  </si>
  <si>
    <t>Інша економічна діяльність</t>
  </si>
  <si>
    <t>0117690</t>
  </si>
  <si>
    <t>7690</t>
  </si>
  <si>
    <t>0117693</t>
  </si>
  <si>
    <t>0117670</t>
  </si>
  <si>
    <t>Внески до статутного капіталу суб’єктів господарювання</t>
  </si>
  <si>
    <t>7670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</si>
  <si>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</si>
  <si>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</si>
  <si>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7430</t>
  </si>
  <si>
    <t>0454</t>
  </si>
  <si>
    <t>Утримання та розвиток місцевих аеропортів</t>
  </si>
  <si>
    <t>3719420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</si>
  <si>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</si>
  <si>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 (на лікування хворих на цукровий та нецукровий діабет)</t>
  </si>
  <si>
    <t>0717322</t>
  </si>
  <si>
    <t>7322</t>
  </si>
  <si>
    <t>0443</t>
  </si>
  <si>
    <t>Будівництво медичних установ та закладів</t>
  </si>
  <si>
    <t>Субвенція з місцевого бюджету на здійснення переданих видатків у сфері охорони здоров’я за рахунок коштів медичної субвенції (цільові кошти на лікування хворих на хронічну ниркову недостатність методом гемодіалізу)</t>
  </si>
  <si>
    <t xml:space="preserve">Інші субвенції з місцевого бюджету (на фінансування мікропроектів сталого місцевого розвитку) </t>
  </si>
  <si>
    <t>"Про внесення змін до обласного бюджету Хмельницької області 
на 2019 рік"</t>
  </si>
  <si>
    <t>0119770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</si>
  <si>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</si>
  <si>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</si>
  <si>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</si>
  <si>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</si>
  <si>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</si>
  <si>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</si>
  <si>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7361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</si>
  <si>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</si>
  <si>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r>
      <t xml:space="preserve">Хмельницька обласна рада (апарат обласної ради)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</si>
  <si>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</si>
  <si>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</si>
  <si>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</si>
  <si>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</si>
  <si>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</si>
  <si>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(головний розпорядник)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</si>
  <si>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(відповідальний виконавець)  </t>
    </r>
  </si>
  <si>
    <r>
      <t>Служба у справах дітей ОДА</t>
    </r>
    <r>
      <rPr>
        <sz val="10"/>
        <rFont val="Times New Roman"/>
        <family val="1"/>
        <charset val="204"/>
      </rPr>
      <t xml:space="preserve"> (головний розпорядник)</t>
    </r>
  </si>
  <si>
    <r>
      <t xml:space="preserve">Служба у справах дітей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</si>
  <si>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</si>
  <si>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  <charset val="204"/>
      </rPr>
      <t>(відповідальний виконавець)</t>
    </r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</si>
  <si>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</si>
  <si>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</si>
  <si>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</si>
  <si>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(відповідальний виконавець)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</si>
  <si>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</si>
  <si>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</si>
  <si>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>Департамент агропромислового розвитку ОДА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(головний розпорядник)</t>
    </r>
  </si>
  <si>
    <r>
      <t>Департамент агропромислового розвитку ОДА</t>
    </r>
    <r>
      <rPr>
        <sz val="10"/>
        <rFont val="Times New Roman"/>
        <family val="1"/>
        <charset val="204"/>
      </rPr>
      <t xml:space="preserve"> (відповідальний виконавець)</t>
    </r>
  </si>
  <si>
    <r>
      <t xml:space="preserve">Департамент економічного розвитку, промисловості та інфраструктури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</si>
  <si>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0"/>
        <rFont val="Times New Roman"/>
        <family val="1"/>
        <charset val="204"/>
      </rPr>
      <t>(відповідальний виконавець)</t>
    </r>
    <r>
      <rPr>
        <b/>
        <sz val="10"/>
        <rFont val="Times New Roman"/>
        <family val="1"/>
        <charset val="204"/>
      </rPr>
      <t xml:space="preserve"> </t>
    </r>
  </si>
  <si>
    <r>
      <t>Департамент фінансів ОДА</t>
    </r>
    <r>
      <rPr>
        <sz val="10"/>
        <rFont val="Times New Roman"/>
        <family val="1"/>
        <charset val="204"/>
      </rPr>
      <t xml:space="preserve"> (в частині міжбюджетних трансфертів, резервного фонду)(головний розпорядник)</t>
    </r>
  </si>
  <si>
    <r>
      <t xml:space="preserve">Департамент фінансів ОДА </t>
    </r>
    <r>
      <rPr>
        <sz val="10"/>
        <rFont val="Times New Roman"/>
        <family val="1"/>
        <charset val="204"/>
      </rPr>
      <t>(відповідальний виконавець)</t>
    </r>
  </si>
  <si>
    <t>від 22.02. 2019 року № 2-24/2019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</si>
</sst>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_-* #,##0.00\ &quot;грн.&quot;_-;\-* #,##0.00\ &quot;грн.&quot;_-;_-* &quot;-&quot;??\ &quot;грн.&quot;_-;_-@_-"/>
    <numFmt numFmtId="193" formatCode="0.0"/>
  </numFmts>
  <fonts count="13" x14ac:knownFonts="1">
    <font>
      <sz val="10"/>
      <color indexed="8"/>
      <name val="MS Sans Serif"/>
      <charset val="204"/>
    </font>
    <font>
      <b/>
      <sz val="8.0500000000000007"/>
      <color indexed="8"/>
      <name val="Times New Roman"/>
      <charset val="204"/>
    </font>
    <font>
      <u/>
      <sz val="11.5"/>
      <color indexed="12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shrinkToFi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93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93" fontId="3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93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93" fontId="4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4" fontId="5" fillId="0" borderId="0" xfId="0" applyNumberFormat="1" applyFont="1"/>
    <xf numFmtId="3" fontId="3" fillId="0" borderId="3" xfId="1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 wrapText="1"/>
    </xf>
    <xf numFmtId="186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Гіперпосилання" xfId="1" builtinId="8"/>
    <cellStyle name="Грошовий" xfId="2" builtinId="4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84"/>
  <sheetViews>
    <sheetView tabSelected="1" view="pageBreakPreview" zoomScale="75" zoomScaleNormal="75" zoomScaleSheetLayoutView="75" workbookViewId="0">
      <pane xSplit="4" ySplit="13" topLeftCell="E185" activePane="bottomRight" state="frozen"/>
      <selection pane="topRight" activeCell="F1" sqref="F1"/>
      <selection pane="bottomLeft" activeCell="A14" sqref="A14"/>
      <selection pane="bottomRight" activeCell="L5" sqref="L5:P5"/>
    </sheetView>
  </sheetViews>
  <sheetFormatPr defaultColWidth="11.42578125" defaultRowHeight="12.75" x14ac:dyDescent="0.2"/>
  <cols>
    <col min="1" max="1" width="8.85546875" style="1" customWidth="1"/>
    <col min="2" max="2" width="9.28515625" style="1" customWidth="1"/>
    <col min="3" max="3" width="8.85546875" style="1" customWidth="1"/>
    <col min="4" max="4" width="35.140625" style="1" customWidth="1"/>
    <col min="5" max="5" width="16.7109375" style="2" customWidth="1"/>
    <col min="6" max="6" width="15" style="2" customWidth="1"/>
    <col min="7" max="7" width="13.7109375" style="2" customWidth="1"/>
    <col min="8" max="8" width="15" style="2" customWidth="1"/>
    <col min="9" max="9" width="13.85546875" style="1" customWidth="1"/>
    <col min="10" max="10" width="15.85546875" style="2" customWidth="1"/>
    <col min="11" max="11" width="12" style="2" customWidth="1"/>
    <col min="12" max="12" width="14.42578125" style="2" customWidth="1"/>
    <col min="13" max="13" width="11.28515625" style="2" customWidth="1"/>
    <col min="14" max="14" width="12.28515625" style="2" customWidth="1"/>
    <col min="15" max="15" width="14.85546875" style="2" customWidth="1"/>
    <col min="16" max="16" width="16.42578125" style="3" customWidth="1"/>
    <col min="17" max="16384" width="11.42578125" style="1"/>
  </cols>
  <sheetData>
    <row r="1" spans="1:16" hidden="1" x14ac:dyDescent="0.2"/>
    <row r="2" spans="1:16" ht="20.45" customHeight="1" x14ac:dyDescent="0.2">
      <c r="L2" s="86" t="s">
        <v>81</v>
      </c>
      <c r="M2" s="86"/>
      <c r="N2" s="86"/>
      <c r="O2" s="86"/>
      <c r="P2" s="86"/>
    </row>
    <row r="3" spans="1:16" ht="18.75" x14ac:dyDescent="0.2">
      <c r="L3" s="78" t="s">
        <v>6</v>
      </c>
      <c r="M3" s="78"/>
      <c r="N3" s="78"/>
      <c r="O3" s="78"/>
      <c r="P3" s="78"/>
    </row>
    <row r="4" spans="1:16" ht="34.15" customHeight="1" x14ac:dyDescent="0.2">
      <c r="K4" s="88" t="s">
        <v>369</v>
      </c>
      <c r="L4" s="88"/>
      <c r="M4" s="88"/>
      <c r="N4" s="88"/>
      <c r="O4" s="88"/>
      <c r="P4" s="88"/>
    </row>
    <row r="5" spans="1:16" ht="27" customHeight="1" x14ac:dyDescent="0.2">
      <c r="L5" s="87" t="s">
        <v>403</v>
      </c>
      <c r="M5" s="87"/>
      <c r="N5" s="87"/>
      <c r="O5" s="87"/>
      <c r="P5" s="87"/>
    </row>
    <row r="6" spans="1:16" x14ac:dyDescent="0.2">
      <c r="O6" s="5"/>
      <c r="P6" s="6"/>
    </row>
    <row r="7" spans="1:16" ht="20.45" customHeight="1" x14ac:dyDescent="0.2">
      <c r="A7" s="89" t="s">
        <v>220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5.75" x14ac:dyDescent="0.2">
      <c r="P8" s="7" t="s">
        <v>228</v>
      </c>
    </row>
    <row r="9" spans="1:16" ht="13.15" customHeight="1" x14ac:dyDescent="0.2">
      <c r="A9" s="90" t="s">
        <v>221</v>
      </c>
      <c r="B9" s="90" t="s">
        <v>222</v>
      </c>
      <c r="C9" s="90" t="s">
        <v>223</v>
      </c>
      <c r="D9" s="94" t="s">
        <v>224</v>
      </c>
      <c r="E9" s="80" t="s">
        <v>64</v>
      </c>
      <c r="F9" s="81"/>
      <c r="G9" s="81"/>
      <c r="H9" s="81"/>
      <c r="I9" s="82"/>
      <c r="J9" s="93" t="s">
        <v>65</v>
      </c>
      <c r="K9" s="93"/>
      <c r="L9" s="93"/>
      <c r="M9" s="93"/>
      <c r="N9" s="93"/>
      <c r="O9" s="93"/>
      <c r="P9" s="97" t="s">
        <v>3</v>
      </c>
    </row>
    <row r="10" spans="1:16" x14ac:dyDescent="0.2">
      <c r="A10" s="91"/>
      <c r="B10" s="91"/>
      <c r="C10" s="91"/>
      <c r="D10" s="95"/>
      <c r="E10" s="79" t="s">
        <v>226</v>
      </c>
      <c r="F10" s="83" t="s">
        <v>13</v>
      </c>
      <c r="G10" s="79" t="s">
        <v>0</v>
      </c>
      <c r="H10" s="79"/>
      <c r="I10" s="83" t="s">
        <v>14</v>
      </c>
      <c r="J10" s="79" t="s">
        <v>226</v>
      </c>
      <c r="K10" s="83" t="s">
        <v>229</v>
      </c>
      <c r="L10" s="83" t="s">
        <v>13</v>
      </c>
      <c r="M10" s="79" t="s">
        <v>0</v>
      </c>
      <c r="N10" s="79"/>
      <c r="O10" s="83" t="s">
        <v>14</v>
      </c>
      <c r="P10" s="98"/>
    </row>
    <row r="11" spans="1:16" ht="3.6" customHeight="1" x14ac:dyDescent="0.2">
      <c r="A11" s="91"/>
      <c r="B11" s="91"/>
      <c r="C11" s="91"/>
      <c r="D11" s="96"/>
      <c r="E11" s="79"/>
      <c r="F11" s="84"/>
      <c r="G11" s="79" t="s">
        <v>1</v>
      </c>
      <c r="H11" s="79" t="s">
        <v>2</v>
      </c>
      <c r="I11" s="84"/>
      <c r="J11" s="79"/>
      <c r="K11" s="84"/>
      <c r="L11" s="84"/>
      <c r="M11" s="79" t="s">
        <v>1</v>
      </c>
      <c r="N11" s="79" t="s">
        <v>2</v>
      </c>
      <c r="O11" s="84"/>
      <c r="P11" s="98"/>
    </row>
    <row r="12" spans="1:16" ht="66.599999999999994" customHeight="1" x14ac:dyDescent="0.2">
      <c r="A12" s="92"/>
      <c r="B12" s="92"/>
      <c r="C12" s="92"/>
      <c r="D12" s="8" t="s">
        <v>225</v>
      </c>
      <c r="E12" s="79"/>
      <c r="F12" s="85"/>
      <c r="G12" s="79"/>
      <c r="H12" s="79"/>
      <c r="I12" s="85"/>
      <c r="J12" s="79"/>
      <c r="K12" s="85"/>
      <c r="L12" s="85"/>
      <c r="M12" s="79"/>
      <c r="N12" s="79"/>
      <c r="O12" s="85"/>
      <c r="P12" s="99"/>
    </row>
    <row r="13" spans="1:16" s="11" customFormat="1" ht="15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 t="s">
        <v>15</v>
      </c>
    </row>
    <row r="14" spans="1:16" s="15" customFormat="1" ht="30.6" customHeight="1" x14ac:dyDescent="0.2">
      <c r="A14" s="12" t="s">
        <v>4</v>
      </c>
      <c r="B14" s="12"/>
      <c r="C14" s="12"/>
      <c r="D14" s="13" t="s">
        <v>379</v>
      </c>
      <c r="E14" s="14">
        <f>F14+I14</f>
        <v>27093900</v>
      </c>
      <c r="F14" s="14">
        <f>F15</f>
        <v>27093900</v>
      </c>
      <c r="G14" s="14">
        <f>G15</f>
        <v>10270500</v>
      </c>
      <c r="H14" s="14">
        <f>H15</f>
        <v>3537400</v>
      </c>
      <c r="I14" s="14">
        <f>I15</f>
        <v>0</v>
      </c>
      <c r="J14" s="14">
        <f t="shared" ref="J14:J49" si="0">L14+O14</f>
        <v>13123460</v>
      </c>
      <c r="K14" s="14">
        <f>K15</f>
        <v>12903460</v>
      </c>
      <c r="L14" s="14">
        <f>L15</f>
        <v>220000</v>
      </c>
      <c r="M14" s="14">
        <f>M15</f>
        <v>0</v>
      </c>
      <c r="N14" s="14">
        <f>N15</f>
        <v>0</v>
      </c>
      <c r="O14" s="14">
        <f>O15</f>
        <v>12903460</v>
      </c>
      <c r="P14" s="14">
        <f>E14+J14</f>
        <v>40217360</v>
      </c>
    </row>
    <row r="15" spans="1:16" s="15" customFormat="1" ht="38.25" x14ac:dyDescent="0.2">
      <c r="A15" s="12" t="s">
        <v>5</v>
      </c>
      <c r="B15" s="12"/>
      <c r="C15" s="12"/>
      <c r="D15" s="13" t="s">
        <v>380</v>
      </c>
      <c r="E15" s="14">
        <f>F15+I15</f>
        <v>27093900</v>
      </c>
      <c r="F15" s="14">
        <f>F16+F17+F19+F20+F25+F23+F22</f>
        <v>27093900</v>
      </c>
      <c r="G15" s="14">
        <f>G16+G17+G19+G20+G25+G23+G22</f>
        <v>10270500</v>
      </c>
      <c r="H15" s="14">
        <f>H16+H17+H19+H20+H25+H23+H22</f>
        <v>3537400</v>
      </c>
      <c r="I15" s="14">
        <f>I16+I17+I19+I20+I25+I23+I22</f>
        <v>0</v>
      </c>
      <c r="J15" s="14">
        <f t="shared" si="0"/>
        <v>13123460</v>
      </c>
      <c r="K15" s="14">
        <f>K16+K17+K19+K20+K25+K23+K22</f>
        <v>12903460</v>
      </c>
      <c r="L15" s="14">
        <f>L16+L17+L19+L20+L25+L23+L22</f>
        <v>220000</v>
      </c>
      <c r="M15" s="14">
        <f>M16+M17+M19+M20+M25+M23+M22</f>
        <v>0</v>
      </c>
      <c r="N15" s="14">
        <f>N16+N17+N19+N20+N25+N23+N22</f>
        <v>0</v>
      </c>
      <c r="O15" s="14">
        <f>O16+O17+O19+O20+O25+O23+O22</f>
        <v>12903460</v>
      </c>
      <c r="P15" s="14">
        <f t="shared" ref="P15:P77" si="1">E15+J15</f>
        <v>40217360</v>
      </c>
    </row>
    <row r="16" spans="1:16" ht="38.25" x14ac:dyDescent="0.2">
      <c r="A16" s="16" t="s">
        <v>111</v>
      </c>
      <c r="B16" s="16" t="s">
        <v>110</v>
      </c>
      <c r="C16" s="16" t="s">
        <v>34</v>
      </c>
      <c r="D16" s="17" t="s">
        <v>35</v>
      </c>
      <c r="E16" s="18">
        <f>F16+I16</f>
        <v>20208700</v>
      </c>
      <c r="F16" s="18">
        <v>20208700</v>
      </c>
      <c r="G16" s="18">
        <v>10270500</v>
      </c>
      <c r="H16" s="18">
        <v>3537400</v>
      </c>
      <c r="I16" s="19"/>
      <c r="J16" s="18">
        <f t="shared" si="0"/>
        <v>4220000</v>
      </c>
      <c r="K16" s="18">
        <f>4000000</f>
        <v>4000000</v>
      </c>
      <c r="L16" s="18">
        <v>220000</v>
      </c>
      <c r="M16" s="14"/>
      <c r="N16" s="18"/>
      <c r="O16" s="18">
        <f>K16</f>
        <v>4000000</v>
      </c>
      <c r="P16" s="14">
        <f t="shared" si="1"/>
        <v>24428700</v>
      </c>
    </row>
    <row r="17" spans="1:16" ht="19.899999999999999" customHeight="1" x14ac:dyDescent="0.2">
      <c r="A17" s="20" t="s">
        <v>178</v>
      </c>
      <c r="B17" s="16">
        <v>3240</v>
      </c>
      <c r="C17" s="16"/>
      <c r="D17" s="21" t="s">
        <v>138</v>
      </c>
      <c r="E17" s="18">
        <f t="shared" ref="E17:E43" si="2">F17+I17</f>
        <v>5000000</v>
      </c>
      <c r="F17" s="18">
        <f>F18</f>
        <v>5000000</v>
      </c>
      <c r="G17" s="18">
        <f>G18</f>
        <v>0</v>
      </c>
      <c r="H17" s="18">
        <f>H18</f>
        <v>0</v>
      </c>
      <c r="I17" s="18">
        <f>I18</f>
        <v>0</v>
      </c>
      <c r="J17" s="18">
        <f t="shared" si="0"/>
        <v>0</v>
      </c>
      <c r="K17" s="18">
        <f>K18</f>
        <v>0</v>
      </c>
      <c r="L17" s="18">
        <f>L18</f>
        <v>0</v>
      </c>
      <c r="M17" s="18">
        <f>M18</f>
        <v>0</v>
      </c>
      <c r="N17" s="18">
        <f>N18</f>
        <v>0</v>
      </c>
      <c r="O17" s="18">
        <f>O18</f>
        <v>0</v>
      </c>
      <c r="P17" s="14">
        <f t="shared" si="1"/>
        <v>5000000</v>
      </c>
    </row>
    <row r="18" spans="1:16" ht="42" customHeight="1" x14ac:dyDescent="0.2">
      <c r="A18" s="20" t="s">
        <v>293</v>
      </c>
      <c r="B18" s="16" t="s">
        <v>247</v>
      </c>
      <c r="C18" s="16" t="s">
        <v>25</v>
      </c>
      <c r="D18" s="21" t="s">
        <v>248</v>
      </c>
      <c r="E18" s="18">
        <f t="shared" si="2"/>
        <v>5000000</v>
      </c>
      <c r="F18" s="18">
        <f>4000000+1000000</f>
        <v>5000000</v>
      </c>
      <c r="G18" s="18"/>
      <c r="H18" s="18"/>
      <c r="I18" s="18"/>
      <c r="J18" s="18">
        <f t="shared" si="0"/>
        <v>0</v>
      </c>
      <c r="K18" s="18"/>
      <c r="L18" s="18"/>
      <c r="M18" s="18"/>
      <c r="N18" s="14"/>
      <c r="O18" s="18">
        <f>K18</f>
        <v>0</v>
      </c>
      <c r="P18" s="14">
        <f t="shared" si="1"/>
        <v>5000000</v>
      </c>
    </row>
    <row r="19" spans="1:16" ht="25.5" x14ac:dyDescent="0.2">
      <c r="A19" s="16" t="s">
        <v>179</v>
      </c>
      <c r="B19" s="16" t="s">
        <v>37</v>
      </c>
      <c r="C19" s="16" t="s">
        <v>36</v>
      </c>
      <c r="D19" s="17" t="s">
        <v>180</v>
      </c>
      <c r="E19" s="18">
        <f t="shared" si="2"/>
        <v>1139400</v>
      </c>
      <c r="F19" s="18">
        <f>1139400+200599505-130000+298400-200767905</f>
        <v>1139400</v>
      </c>
      <c r="G19" s="18"/>
      <c r="H19" s="18"/>
      <c r="I19" s="19"/>
      <c r="J19" s="18">
        <f t="shared" si="0"/>
        <v>0</v>
      </c>
      <c r="K19" s="18"/>
      <c r="L19" s="18"/>
      <c r="M19" s="18"/>
      <c r="N19" s="18"/>
      <c r="O19" s="18">
        <f>K19</f>
        <v>0</v>
      </c>
      <c r="P19" s="14">
        <f t="shared" si="1"/>
        <v>1139400</v>
      </c>
    </row>
    <row r="20" spans="1:16" ht="25.5" x14ac:dyDescent="0.2">
      <c r="A20" s="16" t="s">
        <v>201</v>
      </c>
      <c r="B20" s="16">
        <v>7600</v>
      </c>
      <c r="C20" s="16"/>
      <c r="D20" s="17" t="s">
        <v>200</v>
      </c>
      <c r="E20" s="18">
        <f t="shared" si="2"/>
        <v>114800</v>
      </c>
      <c r="F20" s="18">
        <f>F21</f>
        <v>114800</v>
      </c>
      <c r="G20" s="18">
        <f>G21</f>
        <v>0</v>
      </c>
      <c r="H20" s="18">
        <f>H21</f>
        <v>0</v>
      </c>
      <c r="I20" s="18">
        <f>I21</f>
        <v>0</v>
      </c>
      <c r="J20" s="18">
        <f t="shared" si="0"/>
        <v>0</v>
      </c>
      <c r="K20" s="18">
        <f>K21</f>
        <v>0</v>
      </c>
      <c r="L20" s="18">
        <f>L21</f>
        <v>0</v>
      </c>
      <c r="M20" s="18">
        <f>M21</f>
        <v>0</v>
      </c>
      <c r="N20" s="18">
        <f>N21</f>
        <v>0</v>
      </c>
      <c r="O20" s="18">
        <f>O21</f>
        <v>0</v>
      </c>
      <c r="P20" s="14">
        <f t="shared" si="1"/>
        <v>114800</v>
      </c>
    </row>
    <row r="21" spans="1:16" ht="37.9" customHeight="1" x14ac:dyDescent="0.2">
      <c r="A21" s="16" t="s">
        <v>294</v>
      </c>
      <c r="B21" s="16" t="s">
        <v>295</v>
      </c>
      <c r="C21" s="16" t="s">
        <v>202</v>
      </c>
      <c r="D21" s="17" t="s">
        <v>296</v>
      </c>
      <c r="E21" s="18">
        <f t="shared" si="2"/>
        <v>114800</v>
      </c>
      <c r="F21" s="18">
        <v>114800</v>
      </c>
      <c r="G21" s="18"/>
      <c r="H21" s="18"/>
      <c r="I21" s="19"/>
      <c r="J21" s="18">
        <f t="shared" si="0"/>
        <v>0</v>
      </c>
      <c r="K21" s="18"/>
      <c r="L21" s="18"/>
      <c r="M21" s="18"/>
      <c r="N21" s="18"/>
      <c r="O21" s="18">
        <f>K21</f>
        <v>0</v>
      </c>
      <c r="P21" s="14">
        <f t="shared" si="1"/>
        <v>114800</v>
      </c>
    </row>
    <row r="22" spans="1:16" ht="37.9" customHeight="1" x14ac:dyDescent="0.2">
      <c r="A22" s="16" t="s">
        <v>352</v>
      </c>
      <c r="B22" s="22" t="s">
        <v>354</v>
      </c>
      <c r="C22" s="16" t="s">
        <v>202</v>
      </c>
      <c r="D22" s="17" t="s">
        <v>353</v>
      </c>
      <c r="E22" s="18">
        <f t="shared" si="2"/>
        <v>0</v>
      </c>
      <c r="F22" s="18"/>
      <c r="G22" s="18"/>
      <c r="H22" s="18"/>
      <c r="I22" s="19"/>
      <c r="J22" s="18">
        <f t="shared" si="0"/>
        <v>906000</v>
      </c>
      <c r="K22" s="18">
        <f>906000</f>
        <v>906000</v>
      </c>
      <c r="L22" s="18"/>
      <c r="M22" s="18"/>
      <c r="N22" s="18"/>
      <c r="O22" s="18">
        <f>K22</f>
        <v>906000</v>
      </c>
      <c r="P22" s="14">
        <f>E22+J22</f>
        <v>906000</v>
      </c>
    </row>
    <row r="23" spans="1:16" ht="30" customHeight="1" x14ac:dyDescent="0.2">
      <c r="A23" s="22" t="s">
        <v>349</v>
      </c>
      <c r="B23" s="22" t="s">
        <v>350</v>
      </c>
      <c r="C23" s="16"/>
      <c r="D23" s="17" t="s">
        <v>348</v>
      </c>
      <c r="E23" s="18">
        <f t="shared" si="2"/>
        <v>631000</v>
      </c>
      <c r="F23" s="18">
        <f>F24</f>
        <v>631000</v>
      </c>
      <c r="G23" s="18">
        <f>G24</f>
        <v>0</v>
      </c>
      <c r="H23" s="18">
        <f>H24</f>
        <v>0</v>
      </c>
      <c r="I23" s="18">
        <f>I24</f>
        <v>0</v>
      </c>
      <c r="J23" s="18">
        <f t="shared" si="0"/>
        <v>5150000</v>
      </c>
      <c r="K23" s="18">
        <f>K24</f>
        <v>5150000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5150000</v>
      </c>
      <c r="P23" s="14">
        <f t="shared" si="1"/>
        <v>5781000</v>
      </c>
    </row>
    <row r="24" spans="1:16" ht="37.9" customHeight="1" x14ac:dyDescent="0.2">
      <c r="A24" s="22" t="s">
        <v>351</v>
      </c>
      <c r="B24" s="22" t="s">
        <v>330</v>
      </c>
      <c r="C24" s="16" t="s">
        <v>202</v>
      </c>
      <c r="D24" s="17" t="s">
        <v>331</v>
      </c>
      <c r="E24" s="18">
        <f t="shared" si="2"/>
        <v>631000</v>
      </c>
      <c r="F24" s="18">
        <f>631000</f>
        <v>631000</v>
      </c>
      <c r="G24" s="18"/>
      <c r="H24" s="18"/>
      <c r="I24" s="19"/>
      <c r="J24" s="18">
        <f t="shared" si="0"/>
        <v>5150000</v>
      </c>
      <c r="K24" s="18">
        <f>5150000</f>
        <v>5150000</v>
      </c>
      <c r="L24" s="18"/>
      <c r="M24" s="18"/>
      <c r="N24" s="18"/>
      <c r="O24" s="18">
        <f>K24</f>
        <v>5150000</v>
      </c>
      <c r="P24" s="14">
        <f t="shared" si="1"/>
        <v>5781000</v>
      </c>
    </row>
    <row r="25" spans="1:16" s="28" customFormat="1" ht="49.15" customHeight="1" x14ac:dyDescent="0.2">
      <c r="A25" s="16" t="s">
        <v>370</v>
      </c>
      <c r="B25" s="16" t="s">
        <v>113</v>
      </c>
      <c r="C25" s="16" t="s">
        <v>37</v>
      </c>
      <c r="D25" s="23" t="s">
        <v>368</v>
      </c>
      <c r="E25" s="24">
        <f>F25+I25</f>
        <v>0</v>
      </c>
      <c r="F25" s="25"/>
      <c r="G25" s="24"/>
      <c r="H25" s="24"/>
      <c r="I25" s="25"/>
      <c r="J25" s="18">
        <f t="shared" si="0"/>
        <v>2847460</v>
      </c>
      <c r="K25" s="24">
        <v>2847460</v>
      </c>
      <c r="L25" s="24"/>
      <c r="M25" s="24"/>
      <c r="N25" s="26"/>
      <c r="O25" s="24">
        <f>K25</f>
        <v>2847460</v>
      </c>
      <c r="P25" s="27">
        <f>E25+J25</f>
        <v>2847460</v>
      </c>
    </row>
    <row r="26" spans="1:16" s="15" customFormat="1" ht="25.5" x14ac:dyDescent="0.2">
      <c r="A26" s="29" t="s">
        <v>90</v>
      </c>
      <c r="B26" s="30"/>
      <c r="C26" s="30"/>
      <c r="D26" s="31" t="s">
        <v>381</v>
      </c>
      <c r="E26" s="14">
        <f>F26+I26</f>
        <v>709730490</v>
      </c>
      <c r="F26" s="14">
        <f t="shared" ref="F26:O26" si="3">F27</f>
        <v>709730490</v>
      </c>
      <c r="G26" s="14">
        <f t="shared" si="3"/>
        <v>352129600</v>
      </c>
      <c r="H26" s="14">
        <f t="shared" si="3"/>
        <v>49942700</v>
      </c>
      <c r="I26" s="14">
        <f t="shared" si="3"/>
        <v>0</v>
      </c>
      <c r="J26" s="14">
        <f t="shared" si="0"/>
        <v>75351314</v>
      </c>
      <c r="K26" s="14">
        <f t="shared" si="3"/>
        <v>16604230</v>
      </c>
      <c r="L26" s="14">
        <f t="shared" si="3"/>
        <v>56661974</v>
      </c>
      <c r="M26" s="14">
        <f t="shared" si="3"/>
        <v>6171200</v>
      </c>
      <c r="N26" s="14">
        <f t="shared" si="3"/>
        <v>2348640</v>
      </c>
      <c r="O26" s="14">
        <f t="shared" si="3"/>
        <v>18689340</v>
      </c>
      <c r="P26" s="14">
        <f t="shared" si="1"/>
        <v>785081804</v>
      </c>
    </row>
    <row r="27" spans="1:16" s="15" customFormat="1" ht="25.5" x14ac:dyDescent="0.2">
      <c r="A27" s="12" t="s">
        <v>187</v>
      </c>
      <c r="B27" s="30"/>
      <c r="C27" s="30"/>
      <c r="D27" s="31" t="s">
        <v>382</v>
      </c>
      <c r="E27" s="14">
        <f t="shared" si="2"/>
        <v>709730490</v>
      </c>
      <c r="F27" s="14">
        <f>SUM(F28:F37)+F39</f>
        <v>709730490</v>
      </c>
      <c r="G27" s="14">
        <f>SUM(G28:G37)+G39</f>
        <v>352129600</v>
      </c>
      <c r="H27" s="14">
        <f>SUM(H28:H37)+H39</f>
        <v>49942700</v>
      </c>
      <c r="I27" s="14">
        <f>SUM(I28:I37)+I39</f>
        <v>0</v>
      </c>
      <c r="J27" s="14">
        <f t="shared" si="0"/>
        <v>75351314</v>
      </c>
      <c r="K27" s="14">
        <f>K28+K29+K30+K31+K32+K33+K34+K35+K36+K37+K39</f>
        <v>16604230</v>
      </c>
      <c r="L27" s="14">
        <f>L28+L29+L30+L31+L32+L33+L34+L35+L36+L37+L39</f>
        <v>56661974</v>
      </c>
      <c r="M27" s="14">
        <f>M28+M29+M30+M31+M32+M33+M34+M35+M36+M37+M39</f>
        <v>6171200</v>
      </c>
      <c r="N27" s="14">
        <f>N28+N29+N30+N31+N32+N33+N34+N35+N36+N37+N39</f>
        <v>2348640</v>
      </c>
      <c r="O27" s="14">
        <f>O28+O29+O30+O31+O32+O33+O34+O35+O36+O37+O39</f>
        <v>18689340</v>
      </c>
      <c r="P27" s="14">
        <f>E27+J27</f>
        <v>785081804</v>
      </c>
    </row>
    <row r="28" spans="1:16" ht="59.45" customHeight="1" x14ac:dyDescent="0.2">
      <c r="A28" s="32" t="s">
        <v>91</v>
      </c>
      <c r="B28" s="16" t="s">
        <v>17</v>
      </c>
      <c r="C28" s="16" t="s">
        <v>19</v>
      </c>
      <c r="D28" s="33" t="s">
        <v>18</v>
      </c>
      <c r="E28" s="34">
        <f t="shared" si="2"/>
        <v>58209268</v>
      </c>
      <c r="F28" s="35">
        <f>57564500+644768</f>
        <v>58209268</v>
      </c>
      <c r="G28" s="35">
        <v>31150000</v>
      </c>
      <c r="H28" s="35">
        <v>6020000</v>
      </c>
      <c r="I28" s="36"/>
      <c r="J28" s="18">
        <f t="shared" si="0"/>
        <v>403987</v>
      </c>
      <c r="K28" s="18"/>
      <c r="L28" s="35">
        <v>371787</v>
      </c>
      <c r="M28" s="35">
        <v>58088</v>
      </c>
      <c r="N28" s="35">
        <v>1500</v>
      </c>
      <c r="O28" s="18">
        <f>K28+32200</f>
        <v>32200</v>
      </c>
      <c r="P28" s="14">
        <f t="shared" si="1"/>
        <v>58613255</v>
      </c>
    </row>
    <row r="29" spans="1:16" ht="59.45" customHeight="1" x14ac:dyDescent="0.2">
      <c r="A29" s="32" t="s">
        <v>92</v>
      </c>
      <c r="B29" s="16" t="s">
        <v>20</v>
      </c>
      <c r="C29" s="16" t="s">
        <v>21</v>
      </c>
      <c r="D29" s="37" t="s">
        <v>310</v>
      </c>
      <c r="E29" s="18">
        <f t="shared" si="2"/>
        <v>17488051</v>
      </c>
      <c r="F29" s="35">
        <f>17199700+108351+180000</f>
        <v>17488051</v>
      </c>
      <c r="G29" s="35">
        <v>8708000</v>
      </c>
      <c r="H29" s="35">
        <v>1141900</v>
      </c>
      <c r="I29" s="36"/>
      <c r="J29" s="18">
        <f t="shared" si="0"/>
        <v>127700</v>
      </c>
      <c r="K29" s="18">
        <f>42000+14600+16100</f>
        <v>72700</v>
      </c>
      <c r="L29" s="35">
        <v>55000</v>
      </c>
      <c r="M29" s="35"/>
      <c r="N29" s="35">
        <v>6000</v>
      </c>
      <c r="O29" s="18">
        <f>K29</f>
        <v>72700</v>
      </c>
      <c r="P29" s="14">
        <f t="shared" si="1"/>
        <v>17615751</v>
      </c>
    </row>
    <row r="30" spans="1:16" ht="89.45" customHeight="1" x14ac:dyDescent="0.2">
      <c r="A30" s="32" t="s">
        <v>93</v>
      </c>
      <c r="B30" s="16" t="s">
        <v>22</v>
      </c>
      <c r="C30" s="16" t="s">
        <v>19</v>
      </c>
      <c r="D30" s="23" t="s">
        <v>23</v>
      </c>
      <c r="E30" s="18">
        <f t="shared" si="2"/>
        <v>144544831</v>
      </c>
      <c r="F30" s="35">
        <f>143336100+1208731</f>
        <v>144544831</v>
      </c>
      <c r="G30" s="35">
        <v>90966300</v>
      </c>
      <c r="H30" s="35">
        <v>7877000</v>
      </c>
      <c r="I30" s="36"/>
      <c r="J30" s="18">
        <f t="shared" si="0"/>
        <v>1509756</v>
      </c>
      <c r="K30" s="18">
        <f>35000+500000+510000+273413+73000</f>
        <v>1391413</v>
      </c>
      <c r="L30" s="35">
        <v>118343</v>
      </c>
      <c r="M30" s="35">
        <v>2500</v>
      </c>
      <c r="N30" s="35"/>
      <c r="O30" s="18">
        <f>K30</f>
        <v>1391413</v>
      </c>
      <c r="P30" s="14">
        <f t="shared" si="1"/>
        <v>146054587</v>
      </c>
    </row>
    <row r="31" spans="1:16" ht="126" customHeight="1" x14ac:dyDescent="0.2">
      <c r="A31" s="32" t="s">
        <v>94</v>
      </c>
      <c r="B31" s="16" t="s">
        <v>24</v>
      </c>
      <c r="C31" s="16" t="s">
        <v>19</v>
      </c>
      <c r="D31" s="23" t="s">
        <v>87</v>
      </c>
      <c r="E31" s="18">
        <f t="shared" si="2"/>
        <v>90221350</v>
      </c>
      <c r="F31" s="35">
        <f>89501800+75999-298400+740551+24500+176900</f>
        <v>90221350</v>
      </c>
      <c r="G31" s="35">
        <f>43936400+145000</f>
        <v>44081400</v>
      </c>
      <c r="H31" s="18">
        <v>7865900</v>
      </c>
      <c r="I31" s="19"/>
      <c r="J31" s="18">
        <f t="shared" si="0"/>
        <v>8007064</v>
      </c>
      <c r="K31" s="18">
        <f>3259900+3500000+309700</f>
        <v>7069600</v>
      </c>
      <c r="L31" s="35">
        <v>689464</v>
      </c>
      <c r="M31" s="35"/>
      <c r="N31" s="18">
        <v>55000</v>
      </c>
      <c r="O31" s="18">
        <f>K31+248000</f>
        <v>7317600</v>
      </c>
      <c r="P31" s="14">
        <f t="shared" si="1"/>
        <v>98228414</v>
      </c>
    </row>
    <row r="32" spans="1:16" ht="38.25" x14ac:dyDescent="0.2">
      <c r="A32" s="32" t="s">
        <v>95</v>
      </c>
      <c r="B32" s="16" t="s">
        <v>25</v>
      </c>
      <c r="C32" s="16" t="s">
        <v>26</v>
      </c>
      <c r="D32" s="23" t="s">
        <v>27</v>
      </c>
      <c r="E32" s="18">
        <f t="shared" si="2"/>
        <v>39641000</v>
      </c>
      <c r="F32" s="35">
        <f>39524800+80000+36200</f>
        <v>39641000</v>
      </c>
      <c r="G32" s="35">
        <v>26457700</v>
      </c>
      <c r="H32" s="35">
        <v>4071500</v>
      </c>
      <c r="I32" s="36"/>
      <c r="J32" s="18">
        <f t="shared" si="0"/>
        <v>2624461</v>
      </c>
      <c r="K32" s="18">
        <f>220271+1000000+212200</f>
        <v>1432471</v>
      </c>
      <c r="L32" s="35">
        <v>1161990</v>
      </c>
      <c r="M32" s="35">
        <v>408000</v>
      </c>
      <c r="N32" s="35">
        <v>78200</v>
      </c>
      <c r="O32" s="18">
        <f>K32+30000</f>
        <v>1462471</v>
      </c>
      <c r="P32" s="14">
        <f t="shared" si="1"/>
        <v>42265461</v>
      </c>
    </row>
    <row r="33" spans="1:16" ht="25.5" x14ac:dyDescent="0.2">
      <c r="A33" s="32" t="s">
        <v>96</v>
      </c>
      <c r="B33" s="16" t="s">
        <v>82</v>
      </c>
      <c r="C33" s="16" t="s">
        <v>28</v>
      </c>
      <c r="D33" s="23" t="s">
        <v>83</v>
      </c>
      <c r="E33" s="18">
        <f t="shared" si="2"/>
        <v>216346240</v>
      </c>
      <c r="F33" s="35">
        <f>215127500+1201740+17000</f>
        <v>216346240</v>
      </c>
      <c r="G33" s="35">
        <v>130646800</v>
      </c>
      <c r="H33" s="35">
        <v>20778300</v>
      </c>
      <c r="I33" s="36"/>
      <c r="J33" s="18">
        <f t="shared" si="0"/>
        <v>29390676</v>
      </c>
      <c r="K33" s="18">
        <f>1341979+1442000+1461000+1859318+299849+137000</f>
        <v>6541146</v>
      </c>
      <c r="L33" s="35">
        <v>21152190</v>
      </c>
      <c r="M33" s="35">
        <v>5509658</v>
      </c>
      <c r="N33" s="35">
        <v>2192820</v>
      </c>
      <c r="O33" s="18">
        <f>K33+1697340</f>
        <v>8238486</v>
      </c>
      <c r="P33" s="14">
        <f t="shared" si="1"/>
        <v>245736916</v>
      </c>
    </row>
    <row r="34" spans="1:16" ht="46.15" customHeight="1" x14ac:dyDescent="0.2">
      <c r="A34" s="32" t="s">
        <v>97</v>
      </c>
      <c r="B34" s="16" t="s">
        <v>38</v>
      </c>
      <c r="C34" s="16" t="s">
        <v>39</v>
      </c>
      <c r="D34" s="38" t="s">
        <v>84</v>
      </c>
      <c r="E34" s="18">
        <f t="shared" si="2"/>
        <v>37866000</v>
      </c>
      <c r="F34" s="35">
        <v>37866000</v>
      </c>
      <c r="G34" s="35"/>
      <c r="H34" s="35"/>
      <c r="I34" s="36"/>
      <c r="J34" s="18">
        <f t="shared" si="0"/>
        <v>3316085</v>
      </c>
      <c r="K34" s="18"/>
      <c r="L34" s="35">
        <v>3266085</v>
      </c>
      <c r="M34" s="35"/>
      <c r="N34" s="35"/>
      <c r="O34" s="18">
        <f>K34+50000</f>
        <v>50000</v>
      </c>
      <c r="P34" s="14">
        <f t="shared" si="1"/>
        <v>41182085</v>
      </c>
    </row>
    <row r="35" spans="1:16" ht="55.9" customHeight="1" x14ac:dyDescent="0.2">
      <c r="A35" s="32" t="s">
        <v>98</v>
      </c>
      <c r="B35" s="16" t="s">
        <v>29</v>
      </c>
      <c r="C35" s="16" t="s">
        <v>30</v>
      </c>
      <c r="D35" s="23" t="s">
        <v>88</v>
      </c>
      <c r="E35" s="18">
        <f t="shared" si="2"/>
        <v>68829600</v>
      </c>
      <c r="F35" s="35">
        <f>65734100+3095500</f>
        <v>68829600</v>
      </c>
      <c r="G35" s="35"/>
      <c r="H35" s="35"/>
      <c r="I35" s="36"/>
      <c r="J35" s="18">
        <f t="shared" si="0"/>
        <v>29459000</v>
      </c>
      <c r="K35" s="18"/>
      <c r="L35" s="35">
        <v>29459000</v>
      </c>
      <c r="M35" s="35"/>
      <c r="N35" s="35"/>
      <c r="O35" s="18">
        <f>K35</f>
        <v>0</v>
      </c>
      <c r="P35" s="14">
        <f t="shared" si="1"/>
        <v>98288600</v>
      </c>
    </row>
    <row r="36" spans="1:16" ht="32.450000000000003" customHeight="1" x14ac:dyDescent="0.2">
      <c r="A36" s="32" t="s">
        <v>99</v>
      </c>
      <c r="B36" s="16" t="s">
        <v>31</v>
      </c>
      <c r="C36" s="16" t="s">
        <v>32</v>
      </c>
      <c r="D36" s="21" t="s">
        <v>89</v>
      </c>
      <c r="E36" s="18">
        <f t="shared" si="2"/>
        <v>21045850</v>
      </c>
      <c r="F36" s="35">
        <f>20200400+755500+4950+85000</f>
        <v>21045850</v>
      </c>
      <c r="G36" s="35">
        <f>14565700+619200</f>
        <v>15184900</v>
      </c>
      <c r="H36" s="35">
        <v>953400</v>
      </c>
      <c r="I36" s="36"/>
      <c r="J36" s="18">
        <f t="shared" si="0"/>
        <v>405185</v>
      </c>
      <c r="K36" s="18"/>
      <c r="L36" s="35">
        <v>377615</v>
      </c>
      <c r="M36" s="35">
        <v>192954</v>
      </c>
      <c r="N36" s="35">
        <v>15120</v>
      </c>
      <c r="O36" s="18">
        <f>K36+27570</f>
        <v>27570</v>
      </c>
      <c r="P36" s="14">
        <f t="shared" si="1"/>
        <v>21451035</v>
      </c>
    </row>
    <row r="37" spans="1:16" ht="36" customHeight="1" x14ac:dyDescent="0.2">
      <c r="A37" s="32" t="s">
        <v>100</v>
      </c>
      <c r="B37" s="16" t="s">
        <v>85</v>
      </c>
      <c r="C37" s="16"/>
      <c r="D37" s="21" t="s">
        <v>86</v>
      </c>
      <c r="E37" s="18">
        <f t="shared" si="2"/>
        <v>13909400</v>
      </c>
      <c r="F37" s="35">
        <f>F38</f>
        <v>13909400</v>
      </c>
      <c r="G37" s="35">
        <f>G38</f>
        <v>4934500</v>
      </c>
      <c r="H37" s="35">
        <f>H38</f>
        <v>1234700</v>
      </c>
      <c r="I37" s="35">
        <f>I38</f>
        <v>0</v>
      </c>
      <c r="J37" s="18">
        <f t="shared" si="0"/>
        <v>107400</v>
      </c>
      <c r="K37" s="35">
        <f>K38</f>
        <v>96900</v>
      </c>
      <c r="L37" s="35">
        <f>L38</f>
        <v>10500</v>
      </c>
      <c r="M37" s="35">
        <f>M38</f>
        <v>0</v>
      </c>
      <c r="N37" s="35">
        <f>N38</f>
        <v>0</v>
      </c>
      <c r="O37" s="35">
        <f>O38</f>
        <v>96900</v>
      </c>
      <c r="P37" s="14">
        <f t="shared" si="1"/>
        <v>14016800</v>
      </c>
    </row>
    <row r="38" spans="1:16" ht="36" customHeight="1" x14ac:dyDescent="0.2">
      <c r="A38" s="32" t="s">
        <v>275</v>
      </c>
      <c r="B38" s="16">
        <v>1161</v>
      </c>
      <c r="C38" s="16" t="s">
        <v>276</v>
      </c>
      <c r="D38" s="21" t="s">
        <v>277</v>
      </c>
      <c r="E38" s="18">
        <f t="shared" si="2"/>
        <v>13909400</v>
      </c>
      <c r="F38" s="35">
        <f>8113800+2735300+2964300+96000</f>
        <v>13909400</v>
      </c>
      <c r="G38" s="35">
        <v>4934500</v>
      </c>
      <c r="H38" s="35">
        <v>1234700</v>
      </c>
      <c r="I38" s="35"/>
      <c r="J38" s="18">
        <f t="shared" si="0"/>
        <v>107400</v>
      </c>
      <c r="K38" s="18">
        <f>20000+20000+56900</f>
        <v>96900</v>
      </c>
      <c r="L38" s="35">
        <v>10500</v>
      </c>
      <c r="M38" s="35"/>
      <c r="N38" s="35"/>
      <c r="O38" s="18">
        <f>K38</f>
        <v>96900</v>
      </c>
      <c r="P38" s="14">
        <f t="shared" si="1"/>
        <v>14016800</v>
      </c>
    </row>
    <row r="39" spans="1:16" x14ac:dyDescent="0.2">
      <c r="A39" s="32" t="s">
        <v>101</v>
      </c>
      <c r="B39" s="16" t="s">
        <v>66</v>
      </c>
      <c r="C39" s="16"/>
      <c r="D39" s="23" t="s">
        <v>68</v>
      </c>
      <c r="E39" s="18">
        <f t="shared" si="2"/>
        <v>1628900</v>
      </c>
      <c r="F39" s="35">
        <f>F40+F41</f>
        <v>1628900</v>
      </c>
      <c r="G39" s="35">
        <f>G40+G41</f>
        <v>0</v>
      </c>
      <c r="H39" s="35">
        <f>H40+H41</f>
        <v>0</v>
      </c>
      <c r="I39" s="35">
        <f>I40+I41</f>
        <v>0</v>
      </c>
      <c r="J39" s="18">
        <f t="shared" si="0"/>
        <v>0</v>
      </c>
      <c r="K39" s="35">
        <f>K40+K41</f>
        <v>0</v>
      </c>
      <c r="L39" s="35">
        <f>L40+L41</f>
        <v>0</v>
      </c>
      <c r="M39" s="35">
        <f>M40+M41</f>
        <v>0</v>
      </c>
      <c r="N39" s="35">
        <f>N40+N41</f>
        <v>0</v>
      </c>
      <c r="O39" s="35">
        <f>O40+O41</f>
        <v>0</v>
      </c>
      <c r="P39" s="14">
        <f t="shared" si="1"/>
        <v>1628900</v>
      </c>
    </row>
    <row r="40" spans="1:16" ht="38.25" x14ac:dyDescent="0.2">
      <c r="A40" s="32" t="s">
        <v>278</v>
      </c>
      <c r="B40" s="16" t="s">
        <v>254</v>
      </c>
      <c r="C40" s="16" t="s">
        <v>255</v>
      </c>
      <c r="D40" s="21" t="s">
        <v>256</v>
      </c>
      <c r="E40" s="18">
        <f t="shared" si="2"/>
        <v>1390600</v>
      </c>
      <c r="F40" s="35">
        <v>1390600</v>
      </c>
      <c r="G40" s="35"/>
      <c r="H40" s="35"/>
      <c r="I40" s="35"/>
      <c r="J40" s="18">
        <f t="shared" si="0"/>
        <v>0</v>
      </c>
      <c r="K40" s="18"/>
      <c r="L40" s="35"/>
      <c r="M40" s="35"/>
      <c r="N40" s="35"/>
      <c r="O40" s="18">
        <f>K40</f>
        <v>0</v>
      </c>
      <c r="P40" s="14">
        <f t="shared" si="1"/>
        <v>1390600</v>
      </c>
    </row>
    <row r="41" spans="1:16" ht="38.25" x14ac:dyDescent="0.2">
      <c r="A41" s="32" t="s">
        <v>279</v>
      </c>
      <c r="B41" s="16" t="s">
        <v>257</v>
      </c>
      <c r="C41" s="16" t="s">
        <v>255</v>
      </c>
      <c r="D41" s="21" t="s">
        <v>258</v>
      </c>
      <c r="E41" s="18">
        <f t="shared" si="2"/>
        <v>238300</v>
      </c>
      <c r="F41" s="35">
        <v>238300</v>
      </c>
      <c r="G41" s="35"/>
      <c r="H41" s="35"/>
      <c r="I41" s="35"/>
      <c r="J41" s="18">
        <f t="shared" si="0"/>
        <v>0</v>
      </c>
      <c r="K41" s="18"/>
      <c r="L41" s="35"/>
      <c r="M41" s="35"/>
      <c r="N41" s="35"/>
      <c r="O41" s="18">
        <f>K41</f>
        <v>0</v>
      </c>
      <c r="P41" s="14">
        <f t="shared" si="1"/>
        <v>238300</v>
      </c>
    </row>
    <row r="42" spans="1:16" s="15" customFormat="1" ht="25.5" x14ac:dyDescent="0.2">
      <c r="A42" s="12" t="s">
        <v>143</v>
      </c>
      <c r="B42" s="30"/>
      <c r="C42" s="30"/>
      <c r="D42" s="39" t="s">
        <v>383</v>
      </c>
      <c r="E42" s="14">
        <f t="shared" si="2"/>
        <v>1132362348</v>
      </c>
      <c r="F42" s="14">
        <f>F43</f>
        <v>1132362348</v>
      </c>
      <c r="G42" s="14">
        <f>G43</f>
        <v>0</v>
      </c>
      <c r="H42" s="14">
        <f>H43</f>
        <v>0</v>
      </c>
      <c r="I42" s="14">
        <f>I43</f>
        <v>0</v>
      </c>
      <c r="J42" s="14">
        <f t="shared" si="0"/>
        <v>181623311</v>
      </c>
      <c r="K42" s="14">
        <f>K43</f>
        <v>138918511</v>
      </c>
      <c r="L42" s="14">
        <f>L43</f>
        <v>30831100</v>
      </c>
      <c r="M42" s="14">
        <f>M43</f>
        <v>0</v>
      </c>
      <c r="N42" s="14">
        <f>N43</f>
        <v>0</v>
      </c>
      <c r="O42" s="14">
        <f>O43</f>
        <v>150792211</v>
      </c>
      <c r="P42" s="14">
        <f t="shared" si="1"/>
        <v>1313985659</v>
      </c>
    </row>
    <row r="43" spans="1:16" s="15" customFormat="1" ht="30.6" customHeight="1" x14ac:dyDescent="0.2">
      <c r="A43" s="12" t="s">
        <v>144</v>
      </c>
      <c r="B43" s="30"/>
      <c r="C43" s="30"/>
      <c r="D43" s="39" t="s">
        <v>384</v>
      </c>
      <c r="E43" s="14">
        <f t="shared" si="2"/>
        <v>1132362348</v>
      </c>
      <c r="F43" s="14">
        <f>SUM(F44:F54)+F55+F58+F60+F63</f>
        <v>1132362348</v>
      </c>
      <c r="G43" s="14">
        <f>SUM(G44:G54)+G55+G58+G60+G63</f>
        <v>0</v>
      </c>
      <c r="H43" s="14">
        <f>SUM(H44:H54)+H55+H58+H60+H63</f>
        <v>0</v>
      </c>
      <c r="I43" s="14">
        <f>SUM(I44:I54)+I55+I58+I60+I63</f>
        <v>0</v>
      </c>
      <c r="J43" s="14">
        <f t="shared" si="0"/>
        <v>181623311</v>
      </c>
      <c r="K43" s="14">
        <f>SUM(K44:K54)+K55+K58+K60+K63</f>
        <v>138918511</v>
      </c>
      <c r="L43" s="14">
        <f>SUM(L44:L54)+L55+L58+L60+L63</f>
        <v>30831100</v>
      </c>
      <c r="M43" s="14">
        <f>SUM(M44:M54)+M55+M58+M60+M63</f>
        <v>0</v>
      </c>
      <c r="N43" s="14">
        <f>SUM(N44:N54)+N55+N58+N60+N63</f>
        <v>0</v>
      </c>
      <c r="O43" s="14">
        <f>SUM(O44:O54)+O55+O58+O60+O63</f>
        <v>150792211</v>
      </c>
      <c r="P43" s="14">
        <f t="shared" si="1"/>
        <v>1313985659</v>
      </c>
    </row>
    <row r="44" spans="1:16" ht="43.9" customHeight="1" x14ac:dyDescent="0.2">
      <c r="A44" s="16" t="s">
        <v>145</v>
      </c>
      <c r="B44" s="16" t="s">
        <v>38</v>
      </c>
      <c r="C44" s="16" t="s">
        <v>39</v>
      </c>
      <c r="D44" s="21" t="s">
        <v>124</v>
      </c>
      <c r="E44" s="18">
        <f t="shared" ref="E44:E77" si="4">F44+I44</f>
        <v>51885000</v>
      </c>
      <c r="F44" s="35">
        <v>51885000</v>
      </c>
      <c r="G44" s="35"/>
      <c r="H44" s="14"/>
      <c r="I44" s="40"/>
      <c r="J44" s="18">
        <f t="shared" si="0"/>
        <v>19979800</v>
      </c>
      <c r="K44" s="18"/>
      <c r="L44" s="35">
        <v>19859800</v>
      </c>
      <c r="M44" s="35"/>
      <c r="N44" s="35"/>
      <c r="O44" s="18">
        <f>K44+120000</f>
        <v>120000</v>
      </c>
      <c r="P44" s="14">
        <f t="shared" si="1"/>
        <v>71864800</v>
      </c>
    </row>
    <row r="45" spans="1:16" ht="25.5" x14ac:dyDescent="0.2">
      <c r="A45" s="16" t="s">
        <v>146</v>
      </c>
      <c r="B45" s="16" t="s">
        <v>40</v>
      </c>
      <c r="C45" s="16" t="s">
        <v>41</v>
      </c>
      <c r="D45" s="23" t="s">
        <v>7</v>
      </c>
      <c r="E45" s="18">
        <f t="shared" si="4"/>
        <v>223120400</v>
      </c>
      <c r="F45" s="35">
        <f>219170400+200000+250000+3500000</f>
        <v>223120400</v>
      </c>
      <c r="G45" s="35"/>
      <c r="H45" s="18"/>
      <c r="I45" s="19"/>
      <c r="J45" s="18">
        <f t="shared" si="0"/>
        <v>12777500</v>
      </c>
      <c r="K45" s="18">
        <f>5300000+5193500+5000000-5300000</f>
        <v>10193500</v>
      </c>
      <c r="L45" s="35">
        <v>2584000</v>
      </c>
      <c r="M45" s="35"/>
      <c r="N45" s="18"/>
      <c r="O45" s="18">
        <f>K45</f>
        <v>10193500</v>
      </c>
      <c r="P45" s="14">
        <f t="shared" si="1"/>
        <v>235897900</v>
      </c>
    </row>
    <row r="46" spans="1:16" ht="31.9" customHeight="1" x14ac:dyDescent="0.2">
      <c r="A46" s="16" t="s">
        <v>152</v>
      </c>
      <c r="B46" s="16" t="s">
        <v>153</v>
      </c>
      <c r="C46" s="16" t="s">
        <v>42</v>
      </c>
      <c r="D46" s="23" t="s">
        <v>8</v>
      </c>
      <c r="E46" s="18">
        <f t="shared" si="4"/>
        <v>413169914</v>
      </c>
      <c r="F46" s="35">
        <f>408302600+497764+1700000+100000+22500+226050+227000+2967700+543600+200000+35000+230000+100000+242500+1628100-3989900+137000</f>
        <v>413169914</v>
      </c>
      <c r="G46" s="35"/>
      <c r="H46" s="18"/>
      <c r="I46" s="19"/>
      <c r="J46" s="18">
        <f t="shared" si="0"/>
        <v>48073167</v>
      </c>
      <c r="K46" s="18">
        <f>45816+540310+35700+84030+286500+260000+267200+60000+80520+52000+26000+656900+463368+3257000+196533+467090+1000000+3000000+1000000+10000000+11538000+11538500+500+663000</f>
        <v>45518967</v>
      </c>
      <c r="L46" s="35">
        <v>2444200</v>
      </c>
      <c r="M46" s="35"/>
      <c r="N46" s="18"/>
      <c r="O46" s="18">
        <f>K46+110000</f>
        <v>45628967</v>
      </c>
      <c r="P46" s="14">
        <f t="shared" si="1"/>
        <v>461243081</v>
      </c>
    </row>
    <row r="47" spans="1:16" ht="27.6" customHeight="1" x14ac:dyDescent="0.2">
      <c r="A47" s="16" t="s">
        <v>155</v>
      </c>
      <c r="B47" s="16" t="s">
        <v>156</v>
      </c>
      <c r="C47" s="16" t="s">
        <v>44</v>
      </c>
      <c r="D47" s="23" t="s">
        <v>154</v>
      </c>
      <c r="E47" s="18">
        <f t="shared" si="4"/>
        <v>37244200</v>
      </c>
      <c r="F47" s="35">
        <f>39188300+174000+80000-3865000+1666900</f>
        <v>37244200</v>
      </c>
      <c r="G47" s="35"/>
      <c r="H47" s="35"/>
      <c r="I47" s="36"/>
      <c r="J47" s="18">
        <f t="shared" si="0"/>
        <v>6800</v>
      </c>
      <c r="K47" s="18"/>
      <c r="L47" s="35">
        <v>6800</v>
      </c>
      <c r="M47" s="35"/>
      <c r="N47" s="35"/>
      <c r="O47" s="18">
        <f>K47</f>
        <v>0</v>
      </c>
      <c r="P47" s="14">
        <f t="shared" si="1"/>
        <v>37251000</v>
      </c>
    </row>
    <row r="48" spans="1:16" ht="38.25" x14ac:dyDescent="0.2">
      <c r="A48" s="16" t="s">
        <v>157</v>
      </c>
      <c r="B48" s="16" t="s">
        <v>158</v>
      </c>
      <c r="C48" s="16" t="s">
        <v>47</v>
      </c>
      <c r="D48" s="23" t="s">
        <v>56</v>
      </c>
      <c r="E48" s="18">
        <f t="shared" si="4"/>
        <v>20216950</v>
      </c>
      <c r="F48" s="35">
        <f>19836700+35250+345000</f>
        <v>20216950</v>
      </c>
      <c r="G48" s="35"/>
      <c r="H48" s="35"/>
      <c r="I48" s="36"/>
      <c r="J48" s="18">
        <f t="shared" si="0"/>
        <v>20000</v>
      </c>
      <c r="K48" s="18">
        <f>20000</f>
        <v>20000</v>
      </c>
      <c r="L48" s="35"/>
      <c r="M48" s="35"/>
      <c r="N48" s="35"/>
      <c r="O48" s="18">
        <f>K48</f>
        <v>20000</v>
      </c>
      <c r="P48" s="14">
        <f t="shared" si="1"/>
        <v>20236950</v>
      </c>
    </row>
    <row r="49" spans="1:18" x14ac:dyDescent="0.2">
      <c r="A49" s="16" t="s">
        <v>147</v>
      </c>
      <c r="B49" s="16" t="s">
        <v>43</v>
      </c>
      <c r="C49" s="16" t="s">
        <v>49</v>
      </c>
      <c r="D49" s="23" t="s">
        <v>9</v>
      </c>
      <c r="E49" s="18">
        <f t="shared" si="4"/>
        <v>19502200</v>
      </c>
      <c r="F49" s="35">
        <v>19502200</v>
      </c>
      <c r="G49" s="35"/>
      <c r="H49" s="35"/>
      <c r="I49" s="36"/>
      <c r="J49" s="18">
        <f t="shared" si="0"/>
        <v>100000</v>
      </c>
      <c r="K49" s="18"/>
      <c r="L49" s="35">
        <v>60000</v>
      </c>
      <c r="M49" s="35"/>
      <c r="N49" s="35"/>
      <c r="O49" s="18">
        <f>K49+40000</f>
        <v>40000</v>
      </c>
      <c r="P49" s="14">
        <f t="shared" si="1"/>
        <v>19602200</v>
      </c>
    </row>
    <row r="50" spans="1:18" ht="25.5" x14ac:dyDescent="0.2">
      <c r="A50" s="16" t="s">
        <v>148</v>
      </c>
      <c r="B50" s="41" t="s">
        <v>45</v>
      </c>
      <c r="C50" s="41" t="s">
        <v>50</v>
      </c>
      <c r="D50" s="42" t="s">
        <v>159</v>
      </c>
      <c r="E50" s="18">
        <f t="shared" si="4"/>
        <v>202571200</v>
      </c>
      <c r="F50" s="35">
        <f>202421200+150000</f>
        <v>202571200</v>
      </c>
      <c r="G50" s="35"/>
      <c r="H50" s="18"/>
      <c r="I50" s="19"/>
      <c r="J50" s="18">
        <f t="shared" ref="J50:J118" si="5">L50+O50</f>
        <v>2750000</v>
      </c>
      <c r="K50" s="18">
        <f>2600000+100000</f>
        <v>2700000</v>
      </c>
      <c r="L50" s="35">
        <v>50000</v>
      </c>
      <c r="M50" s="35"/>
      <c r="N50" s="14"/>
      <c r="O50" s="18">
        <f>K50</f>
        <v>2700000</v>
      </c>
      <c r="P50" s="14">
        <f t="shared" si="1"/>
        <v>205321200</v>
      </c>
    </row>
    <row r="51" spans="1:18" ht="25.5" x14ac:dyDescent="0.2">
      <c r="A51" s="16" t="s">
        <v>149</v>
      </c>
      <c r="B51" s="16" t="s">
        <v>46</v>
      </c>
      <c r="C51" s="16" t="s">
        <v>52</v>
      </c>
      <c r="D51" s="23" t="s">
        <v>160</v>
      </c>
      <c r="E51" s="18">
        <f t="shared" si="4"/>
        <v>20719000</v>
      </c>
      <c r="F51" s="35">
        <f>16639100+30000+60000+3989900</f>
        <v>20719000</v>
      </c>
      <c r="G51" s="35"/>
      <c r="H51" s="18"/>
      <c r="I51" s="19"/>
      <c r="J51" s="18">
        <f t="shared" si="5"/>
        <v>336300</v>
      </c>
      <c r="K51" s="18">
        <f>40000</f>
        <v>40000</v>
      </c>
      <c r="L51" s="35">
        <v>276300</v>
      </c>
      <c r="M51" s="35"/>
      <c r="N51" s="35"/>
      <c r="O51" s="18">
        <f>K51+20000</f>
        <v>60000</v>
      </c>
      <c r="P51" s="14">
        <f t="shared" si="1"/>
        <v>21055300</v>
      </c>
    </row>
    <row r="52" spans="1:18" x14ac:dyDescent="0.2">
      <c r="A52" s="16" t="s">
        <v>150</v>
      </c>
      <c r="B52" s="16" t="s">
        <v>48</v>
      </c>
      <c r="C52" s="16" t="s">
        <v>52</v>
      </c>
      <c r="D52" s="23" t="s">
        <v>161</v>
      </c>
      <c r="E52" s="18">
        <f t="shared" si="4"/>
        <v>11114700</v>
      </c>
      <c r="F52" s="43">
        <v>11114700</v>
      </c>
      <c r="G52" s="35"/>
      <c r="H52" s="18"/>
      <c r="I52" s="19"/>
      <c r="J52" s="18">
        <f t="shared" si="5"/>
        <v>5587500</v>
      </c>
      <c r="K52" s="18"/>
      <c r="L52" s="35">
        <v>5387500</v>
      </c>
      <c r="M52" s="35"/>
      <c r="N52" s="18"/>
      <c r="O52" s="18">
        <f>K52+200000</f>
        <v>200000</v>
      </c>
      <c r="P52" s="14">
        <f t="shared" si="1"/>
        <v>16702200</v>
      </c>
    </row>
    <row r="53" spans="1:18" ht="38.25" x14ac:dyDescent="0.2">
      <c r="A53" s="16" t="s">
        <v>163</v>
      </c>
      <c r="B53" s="16" t="s">
        <v>164</v>
      </c>
      <c r="C53" s="16" t="s">
        <v>53</v>
      </c>
      <c r="D53" s="23" t="s">
        <v>162</v>
      </c>
      <c r="E53" s="18">
        <f t="shared" si="4"/>
        <v>1972400</v>
      </c>
      <c r="F53" s="35">
        <f>1902400+70000</f>
        <v>1972400</v>
      </c>
      <c r="G53" s="35"/>
      <c r="H53" s="18"/>
      <c r="I53" s="19"/>
      <c r="J53" s="18">
        <f t="shared" si="5"/>
        <v>0</v>
      </c>
      <c r="K53" s="18"/>
      <c r="L53" s="35"/>
      <c r="M53" s="35"/>
      <c r="N53" s="14"/>
      <c r="O53" s="18">
        <f>K53</f>
        <v>0</v>
      </c>
      <c r="P53" s="14">
        <f t="shared" si="1"/>
        <v>1972400</v>
      </c>
    </row>
    <row r="54" spans="1:18" ht="25.5" x14ac:dyDescent="0.2">
      <c r="A54" s="16" t="s">
        <v>151</v>
      </c>
      <c r="B54" s="16" t="s">
        <v>51</v>
      </c>
      <c r="C54" s="16" t="s">
        <v>54</v>
      </c>
      <c r="D54" s="44" t="s">
        <v>165</v>
      </c>
      <c r="E54" s="18">
        <f t="shared" si="4"/>
        <v>11139500</v>
      </c>
      <c r="F54" s="35">
        <f>10639500+500000</f>
        <v>11139500</v>
      </c>
      <c r="G54" s="35"/>
      <c r="H54" s="35"/>
      <c r="I54" s="36"/>
      <c r="J54" s="18">
        <f t="shared" si="5"/>
        <v>0</v>
      </c>
      <c r="K54" s="18"/>
      <c r="L54" s="35"/>
      <c r="M54" s="35"/>
      <c r="N54" s="35"/>
      <c r="O54" s="18">
        <f>K54</f>
        <v>0</v>
      </c>
      <c r="P54" s="14">
        <f t="shared" si="1"/>
        <v>11139500</v>
      </c>
    </row>
    <row r="55" spans="1:18" ht="25.5" x14ac:dyDescent="0.2">
      <c r="A55" s="16" t="s">
        <v>167</v>
      </c>
      <c r="B55" s="16">
        <v>2150</v>
      </c>
      <c r="C55" s="16"/>
      <c r="D55" s="44" t="s">
        <v>166</v>
      </c>
      <c r="E55" s="18">
        <f t="shared" si="4"/>
        <v>119706884</v>
      </c>
      <c r="F55" s="35">
        <f>F56+F57</f>
        <v>119706884</v>
      </c>
      <c r="G55" s="35">
        <f>G56+G57</f>
        <v>0</v>
      </c>
      <c r="H55" s="35">
        <f>H56+H57</f>
        <v>0</v>
      </c>
      <c r="I55" s="35">
        <f>I56+I57</f>
        <v>0</v>
      </c>
      <c r="J55" s="18">
        <f t="shared" si="5"/>
        <v>32610800</v>
      </c>
      <c r="K55" s="35">
        <f>K56+K57</f>
        <v>32448300</v>
      </c>
      <c r="L55" s="35">
        <f>L56+L57</f>
        <v>162500</v>
      </c>
      <c r="M55" s="35">
        <f>M56+M57</f>
        <v>0</v>
      </c>
      <c r="N55" s="35">
        <f>N56+N57</f>
        <v>0</v>
      </c>
      <c r="O55" s="35">
        <f>O56+O57</f>
        <v>32448300</v>
      </c>
      <c r="P55" s="14">
        <f t="shared" si="1"/>
        <v>152317684</v>
      </c>
    </row>
    <row r="56" spans="1:18" ht="36" customHeight="1" x14ac:dyDescent="0.2">
      <c r="A56" s="16" t="s">
        <v>230</v>
      </c>
      <c r="B56" s="16" t="s">
        <v>231</v>
      </c>
      <c r="C56" s="16" t="s">
        <v>54</v>
      </c>
      <c r="D56" s="23" t="s">
        <v>232</v>
      </c>
      <c r="E56" s="18">
        <f t="shared" si="4"/>
        <v>43298600</v>
      </c>
      <c r="F56" s="35">
        <v>43298600</v>
      </c>
      <c r="G56" s="35"/>
      <c r="H56" s="35"/>
      <c r="I56" s="35"/>
      <c r="J56" s="18">
        <f t="shared" si="5"/>
        <v>1310800</v>
      </c>
      <c r="K56" s="18">
        <f>753300+162000+210000+23000</f>
        <v>1148300</v>
      </c>
      <c r="L56" s="35">
        <v>162500</v>
      </c>
      <c r="M56" s="35"/>
      <c r="N56" s="35"/>
      <c r="O56" s="18">
        <f>K56</f>
        <v>1148300</v>
      </c>
      <c r="P56" s="14">
        <f t="shared" si="1"/>
        <v>44609400</v>
      </c>
    </row>
    <row r="57" spans="1:18" ht="36" customHeight="1" x14ac:dyDescent="0.2">
      <c r="A57" s="16" t="s">
        <v>233</v>
      </c>
      <c r="B57" s="16" t="s">
        <v>234</v>
      </c>
      <c r="C57" s="16" t="s">
        <v>54</v>
      </c>
      <c r="D57" s="23" t="s">
        <v>235</v>
      </c>
      <c r="E57" s="18">
        <f t="shared" si="4"/>
        <v>76408284</v>
      </c>
      <c r="F57" s="35">
        <f>54167900+15900000+12719800-6379416</f>
        <v>76408284</v>
      </c>
      <c r="G57" s="35"/>
      <c r="H57" s="35"/>
      <c r="I57" s="35"/>
      <c r="J57" s="18">
        <f t="shared" si="5"/>
        <v>31300000</v>
      </c>
      <c r="K57" s="18">
        <f>11538500+5000000+5000000+16000000+5300000-11538500</f>
        <v>31300000</v>
      </c>
      <c r="L57" s="35"/>
      <c r="M57" s="35"/>
      <c r="N57" s="35"/>
      <c r="O57" s="18">
        <f>K57</f>
        <v>31300000</v>
      </c>
      <c r="P57" s="14">
        <f t="shared" si="1"/>
        <v>107708284</v>
      </c>
    </row>
    <row r="58" spans="1:18" ht="27.6" customHeight="1" x14ac:dyDescent="0.2">
      <c r="A58" s="16" t="s">
        <v>213</v>
      </c>
      <c r="B58" s="41" t="s">
        <v>208</v>
      </c>
      <c r="C58" s="41"/>
      <c r="D58" s="45" t="s">
        <v>209</v>
      </c>
      <c r="E58" s="18">
        <f t="shared" si="4"/>
        <v>0</v>
      </c>
      <c r="F58" s="35">
        <f>F59</f>
        <v>0</v>
      </c>
      <c r="G58" s="35">
        <f>G59</f>
        <v>0</v>
      </c>
      <c r="H58" s="35">
        <f>H59</f>
        <v>0</v>
      </c>
      <c r="I58" s="35">
        <f>I59</f>
        <v>0</v>
      </c>
      <c r="J58" s="18">
        <f t="shared" si="5"/>
        <v>47532511</v>
      </c>
      <c r="K58" s="35">
        <f>K59</f>
        <v>47532511</v>
      </c>
      <c r="L58" s="35">
        <f>L59</f>
        <v>0</v>
      </c>
      <c r="M58" s="35">
        <f>M59</f>
        <v>0</v>
      </c>
      <c r="N58" s="35">
        <f>N59</f>
        <v>0</v>
      </c>
      <c r="O58" s="35">
        <f>O59</f>
        <v>47532511</v>
      </c>
      <c r="P58" s="14">
        <f t="shared" si="1"/>
        <v>47532511</v>
      </c>
    </row>
    <row r="59" spans="1:18" ht="25.15" customHeight="1" x14ac:dyDescent="0.2">
      <c r="A59" s="16" t="s">
        <v>363</v>
      </c>
      <c r="B59" s="41" t="s">
        <v>364</v>
      </c>
      <c r="C59" s="41" t="s">
        <v>365</v>
      </c>
      <c r="D59" s="23" t="s">
        <v>366</v>
      </c>
      <c r="E59" s="18">
        <f t="shared" si="4"/>
        <v>0</v>
      </c>
      <c r="F59" s="35"/>
      <c r="G59" s="35"/>
      <c r="H59" s="35"/>
      <c r="I59" s="36"/>
      <c r="J59" s="18">
        <f t="shared" si="5"/>
        <v>47532511</v>
      </c>
      <c r="K59" s="35">
        <f>44000000+720000+1212511+1600000</f>
        <v>47532511</v>
      </c>
      <c r="L59" s="35"/>
      <c r="M59" s="35"/>
      <c r="N59" s="35"/>
      <c r="O59" s="35">
        <f>K59</f>
        <v>47532511</v>
      </c>
      <c r="P59" s="14">
        <f t="shared" si="1"/>
        <v>47532511</v>
      </c>
      <c r="Q59" s="46"/>
      <c r="R59" s="47"/>
    </row>
    <row r="60" spans="1:18" ht="17.45" customHeight="1" x14ac:dyDescent="0.2">
      <c r="A60" s="16" t="s">
        <v>207</v>
      </c>
      <c r="B60" s="41" t="s">
        <v>205</v>
      </c>
      <c r="C60" s="41"/>
      <c r="D60" s="48" t="s">
        <v>206</v>
      </c>
      <c r="E60" s="18">
        <f t="shared" si="4"/>
        <v>0</v>
      </c>
      <c r="F60" s="35">
        <f>F62+F61</f>
        <v>0</v>
      </c>
      <c r="G60" s="35">
        <f>G62+G61</f>
        <v>0</v>
      </c>
      <c r="H60" s="35">
        <f>H62+H61</f>
        <v>0</v>
      </c>
      <c r="I60" s="35">
        <f>I62+I61</f>
        <v>0</v>
      </c>
      <c r="J60" s="18">
        <f t="shared" si="5"/>
        <v>465233</v>
      </c>
      <c r="K60" s="35">
        <f>K62+K61</f>
        <v>465233</v>
      </c>
      <c r="L60" s="35">
        <f>L62+L61</f>
        <v>0</v>
      </c>
      <c r="M60" s="35">
        <f>M62+M61</f>
        <v>0</v>
      </c>
      <c r="N60" s="35">
        <f>N62+N61</f>
        <v>0</v>
      </c>
      <c r="O60" s="35">
        <f>O62+O61</f>
        <v>465233</v>
      </c>
      <c r="P60" s="14">
        <f>E60+J60</f>
        <v>465233</v>
      </c>
    </row>
    <row r="61" spans="1:18" ht="57.6" customHeight="1" x14ac:dyDescent="0.2">
      <c r="A61" s="16" t="s">
        <v>376</v>
      </c>
      <c r="B61" s="41" t="s">
        <v>377</v>
      </c>
      <c r="C61" s="41" t="s">
        <v>202</v>
      </c>
      <c r="D61" s="48" t="s">
        <v>375</v>
      </c>
      <c r="E61" s="18">
        <f t="shared" si="4"/>
        <v>0</v>
      </c>
      <c r="F61" s="35"/>
      <c r="G61" s="35"/>
      <c r="H61" s="35"/>
      <c r="I61" s="35"/>
      <c r="J61" s="18">
        <f t="shared" si="5"/>
        <v>208087</v>
      </c>
      <c r="K61" s="35">
        <f>208087</f>
        <v>208087</v>
      </c>
      <c r="L61" s="35"/>
      <c r="M61" s="35"/>
      <c r="N61" s="35"/>
      <c r="O61" s="18">
        <f>K61</f>
        <v>208087</v>
      </c>
      <c r="P61" s="14">
        <f>E61+J61</f>
        <v>208087</v>
      </c>
    </row>
    <row r="62" spans="1:18" ht="63.6" customHeight="1" x14ac:dyDescent="0.2">
      <c r="A62" s="16" t="s">
        <v>355</v>
      </c>
      <c r="B62" s="41">
        <v>7363</v>
      </c>
      <c r="C62" s="41" t="s">
        <v>202</v>
      </c>
      <c r="D62" s="48" t="s">
        <v>356</v>
      </c>
      <c r="E62" s="18">
        <f t="shared" si="4"/>
        <v>0</v>
      </c>
      <c r="F62" s="35"/>
      <c r="G62" s="35"/>
      <c r="H62" s="35"/>
      <c r="I62" s="35"/>
      <c r="J62" s="18">
        <f t="shared" si="5"/>
        <v>257146</v>
      </c>
      <c r="K62" s="18">
        <f>249656+7490</f>
        <v>257146</v>
      </c>
      <c r="L62" s="35"/>
      <c r="M62" s="35"/>
      <c r="N62" s="35"/>
      <c r="O62" s="18">
        <f>K62</f>
        <v>257146</v>
      </c>
      <c r="P62" s="14">
        <f>E62+J62</f>
        <v>257146</v>
      </c>
    </row>
    <row r="63" spans="1:18" ht="38.25" x14ac:dyDescent="0.2">
      <c r="A63" s="16" t="s">
        <v>127</v>
      </c>
      <c r="B63" s="16" t="s">
        <v>125</v>
      </c>
      <c r="C63" s="16" t="s">
        <v>16</v>
      </c>
      <c r="D63" s="49" t="s">
        <v>126</v>
      </c>
      <c r="E63" s="18">
        <f t="shared" si="4"/>
        <v>0</v>
      </c>
      <c r="F63" s="18"/>
      <c r="G63" s="18"/>
      <c r="H63" s="18"/>
      <c r="I63" s="50"/>
      <c r="J63" s="18">
        <f t="shared" si="5"/>
        <v>11383700</v>
      </c>
      <c r="K63" s="18"/>
      <c r="L63" s="18"/>
      <c r="M63" s="18"/>
      <c r="N63" s="18"/>
      <c r="O63" s="18">
        <f>K63+11383700</f>
        <v>11383700</v>
      </c>
      <c r="P63" s="14">
        <f t="shared" si="1"/>
        <v>11383700</v>
      </c>
    </row>
    <row r="64" spans="1:18" s="15" customFormat="1" ht="25.5" x14ac:dyDescent="0.2">
      <c r="A64" s="12" t="s">
        <v>11</v>
      </c>
      <c r="B64" s="30"/>
      <c r="C64" s="30"/>
      <c r="D64" s="51" t="s">
        <v>385</v>
      </c>
      <c r="E64" s="14">
        <f t="shared" si="4"/>
        <v>211961435</v>
      </c>
      <c r="F64" s="14">
        <f>F65</f>
        <v>211961435</v>
      </c>
      <c r="G64" s="14">
        <f>G65</f>
        <v>79024600</v>
      </c>
      <c r="H64" s="14">
        <f>H65</f>
        <v>17220300</v>
      </c>
      <c r="I64" s="14">
        <f>I65</f>
        <v>0</v>
      </c>
      <c r="J64" s="14">
        <f t="shared" si="5"/>
        <v>47497763</v>
      </c>
      <c r="K64" s="14">
        <f>K65</f>
        <v>10045963</v>
      </c>
      <c r="L64" s="14">
        <f>L65</f>
        <v>35982800</v>
      </c>
      <c r="M64" s="14">
        <f>M65</f>
        <v>0</v>
      </c>
      <c r="N64" s="14">
        <f>N65</f>
        <v>44000</v>
      </c>
      <c r="O64" s="14">
        <f>O65</f>
        <v>11514963</v>
      </c>
      <c r="P64" s="14">
        <f t="shared" si="1"/>
        <v>259459198</v>
      </c>
    </row>
    <row r="65" spans="1:18" s="15" customFormat="1" ht="38.25" x14ac:dyDescent="0.2">
      <c r="A65" s="12" t="s">
        <v>12</v>
      </c>
      <c r="B65" s="30"/>
      <c r="C65" s="30"/>
      <c r="D65" s="51" t="s">
        <v>386</v>
      </c>
      <c r="E65" s="14">
        <f t="shared" si="4"/>
        <v>211961435</v>
      </c>
      <c r="F65" s="14">
        <f>F66+F67+F71+F72+F73+F76</f>
        <v>211961435</v>
      </c>
      <c r="G65" s="14">
        <f>G66+G67+G71+G72+G73+G76</f>
        <v>79024600</v>
      </c>
      <c r="H65" s="14">
        <f>H66+H67+H71+H72+H73+H76</f>
        <v>17220300</v>
      </c>
      <c r="I65" s="14">
        <f>I66+I67+I71+I72+I73+I76</f>
        <v>0</v>
      </c>
      <c r="J65" s="14">
        <f t="shared" si="5"/>
        <v>47497763</v>
      </c>
      <c r="K65" s="14">
        <f>K66+K67+K71+K72+K73+K76</f>
        <v>10045963</v>
      </c>
      <c r="L65" s="14">
        <f>L66+L67+L71+L72+L73+L76</f>
        <v>35982800</v>
      </c>
      <c r="M65" s="14">
        <f>M66+M67+M71+M72+M73+M76</f>
        <v>0</v>
      </c>
      <c r="N65" s="14">
        <f>N66+N67+N71+N72+N73+N76</f>
        <v>44000</v>
      </c>
      <c r="O65" s="14">
        <f>O66+O67+O71+O72+O73+O76</f>
        <v>11514963</v>
      </c>
      <c r="P65" s="14">
        <f t="shared" si="1"/>
        <v>259459198</v>
      </c>
    </row>
    <row r="66" spans="1:18" ht="46.15" customHeight="1" x14ac:dyDescent="0.2">
      <c r="A66" s="16" t="s">
        <v>249</v>
      </c>
      <c r="B66" s="41" t="s">
        <v>217</v>
      </c>
      <c r="C66" s="41" t="s">
        <v>17</v>
      </c>
      <c r="D66" s="48" t="s">
        <v>218</v>
      </c>
      <c r="E66" s="18">
        <f t="shared" si="4"/>
        <v>56955000</v>
      </c>
      <c r="F66" s="18">
        <v>56955000</v>
      </c>
      <c r="G66" s="18"/>
      <c r="H66" s="18"/>
      <c r="I66" s="18"/>
      <c r="J66" s="18">
        <f t="shared" si="5"/>
        <v>0</v>
      </c>
      <c r="K66" s="18"/>
      <c r="L66" s="18"/>
      <c r="M66" s="18"/>
      <c r="N66" s="18"/>
      <c r="O66" s="18">
        <f>K66</f>
        <v>0</v>
      </c>
      <c r="P66" s="14">
        <f t="shared" si="1"/>
        <v>56955000</v>
      </c>
    </row>
    <row r="67" spans="1:18" ht="79.900000000000006" customHeight="1" x14ac:dyDescent="0.2">
      <c r="A67" s="16" t="s">
        <v>297</v>
      </c>
      <c r="B67" s="16" t="s">
        <v>298</v>
      </c>
      <c r="C67" s="16"/>
      <c r="D67" s="21" t="s">
        <v>299</v>
      </c>
      <c r="E67" s="18">
        <f t="shared" si="4"/>
        <v>131844435</v>
      </c>
      <c r="F67" s="18">
        <f>F68+F69</f>
        <v>131844435</v>
      </c>
      <c r="G67" s="18">
        <f>G68+G69</f>
        <v>75901600</v>
      </c>
      <c r="H67" s="18">
        <f>H68+H69</f>
        <v>17009800</v>
      </c>
      <c r="I67" s="18">
        <f>I68+I69</f>
        <v>0</v>
      </c>
      <c r="J67" s="18">
        <f t="shared" si="5"/>
        <v>47497763</v>
      </c>
      <c r="K67" s="18">
        <f>K68+K69</f>
        <v>10045963</v>
      </c>
      <c r="L67" s="18">
        <f>L68+L69</f>
        <v>35982800</v>
      </c>
      <c r="M67" s="18">
        <f>M68+M69</f>
        <v>0</v>
      </c>
      <c r="N67" s="18">
        <f>N68+N69</f>
        <v>44000</v>
      </c>
      <c r="O67" s="18">
        <f>O68+O69</f>
        <v>11514963</v>
      </c>
      <c r="P67" s="14">
        <f t="shared" si="1"/>
        <v>179342198</v>
      </c>
    </row>
    <row r="68" spans="1:18" ht="69.599999999999994" customHeight="1" x14ac:dyDescent="0.2">
      <c r="A68" s="16" t="s">
        <v>237</v>
      </c>
      <c r="B68" s="16">
        <v>3101</v>
      </c>
      <c r="C68" s="16" t="s">
        <v>238</v>
      </c>
      <c r="D68" s="21" t="s">
        <v>239</v>
      </c>
      <c r="E68" s="18">
        <f t="shared" si="4"/>
        <v>8144900</v>
      </c>
      <c r="F68" s="18">
        <v>8144900</v>
      </c>
      <c r="G68" s="18">
        <v>4807200</v>
      </c>
      <c r="H68" s="18">
        <v>1374700</v>
      </c>
      <c r="I68" s="18"/>
      <c r="J68" s="18">
        <f t="shared" si="5"/>
        <v>1448900</v>
      </c>
      <c r="K68" s="18">
        <f>12000</f>
        <v>12000</v>
      </c>
      <c r="L68" s="18">
        <v>1376900</v>
      </c>
      <c r="M68" s="18"/>
      <c r="N68" s="18"/>
      <c r="O68" s="18">
        <f>K68+60000</f>
        <v>72000</v>
      </c>
      <c r="P68" s="14">
        <f t="shared" si="1"/>
        <v>9593800</v>
      </c>
    </row>
    <row r="69" spans="1:18" ht="107.45" customHeight="1" x14ac:dyDescent="0.2">
      <c r="A69" s="16" t="s">
        <v>240</v>
      </c>
      <c r="B69" s="16">
        <v>3102</v>
      </c>
      <c r="C69" s="16" t="s">
        <v>241</v>
      </c>
      <c r="D69" s="21" t="s">
        <v>242</v>
      </c>
      <c r="E69" s="18">
        <f t="shared" si="4"/>
        <v>123699535</v>
      </c>
      <c r="F69" s="18">
        <f>123347100+352435</f>
        <v>123699535</v>
      </c>
      <c r="G69" s="18">
        <v>71094400</v>
      </c>
      <c r="H69" s="18">
        <v>15635100</v>
      </c>
      <c r="I69" s="18"/>
      <c r="J69" s="18">
        <f t="shared" si="5"/>
        <v>46048863</v>
      </c>
      <c r="K69" s="18">
        <f>9433203+579460-48700+70000</f>
        <v>10033963</v>
      </c>
      <c r="L69" s="18">
        <v>34605900</v>
      </c>
      <c r="M69" s="18"/>
      <c r="N69" s="18">
        <v>44000</v>
      </c>
      <c r="O69" s="18">
        <f>K69+1409000</f>
        <v>11442963</v>
      </c>
      <c r="P69" s="14">
        <f t="shared" si="1"/>
        <v>169748398</v>
      </c>
    </row>
    <row r="70" spans="1:18" ht="28.15" hidden="1" customHeight="1" x14ac:dyDescent="0.2">
      <c r="A70" s="16" t="s">
        <v>139</v>
      </c>
      <c r="B70" s="16" t="s">
        <v>136</v>
      </c>
      <c r="C70" s="16"/>
      <c r="D70" s="21" t="s">
        <v>69</v>
      </c>
      <c r="E70" s="18">
        <f t="shared" si="4"/>
        <v>0</v>
      </c>
      <c r="F70" s="35"/>
      <c r="G70" s="35"/>
      <c r="H70" s="35"/>
      <c r="I70" s="35"/>
      <c r="J70" s="18">
        <f t="shared" si="5"/>
        <v>0</v>
      </c>
      <c r="K70" s="18"/>
      <c r="L70" s="35"/>
      <c r="M70" s="35"/>
      <c r="N70" s="35"/>
      <c r="O70" s="18">
        <f>K70</f>
        <v>0</v>
      </c>
      <c r="P70" s="14">
        <f t="shared" si="1"/>
        <v>0</v>
      </c>
    </row>
    <row r="71" spans="1:18" ht="81.599999999999994" customHeight="1" x14ac:dyDescent="0.2">
      <c r="A71" s="16" t="s">
        <v>301</v>
      </c>
      <c r="B71" s="16" t="s">
        <v>62</v>
      </c>
      <c r="C71" s="16" t="s">
        <v>17</v>
      </c>
      <c r="D71" s="23" t="s">
        <v>33</v>
      </c>
      <c r="E71" s="18">
        <f>F71+I71</f>
        <v>5369500</v>
      </c>
      <c r="F71" s="35">
        <v>5369500</v>
      </c>
      <c r="G71" s="35"/>
      <c r="H71" s="35"/>
      <c r="I71" s="36"/>
      <c r="J71" s="18">
        <f>L71+O71</f>
        <v>0</v>
      </c>
      <c r="K71" s="18"/>
      <c r="L71" s="35"/>
      <c r="M71" s="35"/>
      <c r="N71" s="35"/>
      <c r="O71" s="18">
        <f>K71</f>
        <v>0</v>
      </c>
      <c r="P71" s="52">
        <f>E71+J71</f>
        <v>5369500</v>
      </c>
    </row>
    <row r="72" spans="1:18" ht="38.25" x14ac:dyDescent="0.2">
      <c r="A72" s="16" t="s">
        <v>185</v>
      </c>
      <c r="B72" s="16" t="s">
        <v>186</v>
      </c>
      <c r="C72" s="16" t="s">
        <v>25</v>
      </c>
      <c r="D72" s="21" t="s">
        <v>137</v>
      </c>
      <c r="E72" s="18">
        <f>F72+I72</f>
        <v>3628500</v>
      </c>
      <c r="F72" s="35">
        <v>3628500</v>
      </c>
      <c r="G72" s="35">
        <v>2537300</v>
      </c>
      <c r="H72" s="35">
        <v>182700</v>
      </c>
      <c r="I72" s="36"/>
      <c r="J72" s="18">
        <f>K72+N72</f>
        <v>0</v>
      </c>
      <c r="K72" s="35"/>
      <c r="L72" s="35"/>
      <c r="M72" s="35"/>
      <c r="N72" s="35"/>
      <c r="O72" s="18">
        <f>K72</f>
        <v>0</v>
      </c>
      <c r="P72" s="14">
        <f>E72+J72</f>
        <v>3628500</v>
      </c>
    </row>
    <row r="73" spans="1:18" x14ac:dyDescent="0.2">
      <c r="A73" s="16" t="s">
        <v>300</v>
      </c>
      <c r="B73" s="16">
        <v>3240</v>
      </c>
      <c r="C73" s="16"/>
      <c r="D73" s="21" t="s">
        <v>138</v>
      </c>
      <c r="E73" s="18">
        <f>F73+I73</f>
        <v>13764000</v>
      </c>
      <c r="F73" s="35">
        <f>F74+F75</f>
        <v>13764000</v>
      </c>
      <c r="G73" s="35">
        <f>G74+G75</f>
        <v>585700</v>
      </c>
      <c r="H73" s="35">
        <f>H74+H75</f>
        <v>27800</v>
      </c>
      <c r="I73" s="35">
        <f>I74+I75</f>
        <v>0</v>
      </c>
      <c r="J73" s="18">
        <f>K73+N73</f>
        <v>0</v>
      </c>
      <c r="K73" s="35">
        <f>K74+K75</f>
        <v>0</v>
      </c>
      <c r="L73" s="35">
        <f>L74+L75</f>
        <v>0</v>
      </c>
      <c r="M73" s="35">
        <f>M74+M75</f>
        <v>0</v>
      </c>
      <c r="N73" s="35">
        <f>N74+N75</f>
        <v>0</v>
      </c>
      <c r="O73" s="35">
        <f>O74+O75</f>
        <v>0</v>
      </c>
      <c r="P73" s="14">
        <f>E73+J73</f>
        <v>13764000</v>
      </c>
    </row>
    <row r="74" spans="1:18" ht="52.9" customHeight="1" x14ac:dyDescent="0.2">
      <c r="A74" s="16" t="s">
        <v>243</v>
      </c>
      <c r="B74" s="16" t="s">
        <v>244</v>
      </c>
      <c r="C74" s="16" t="s">
        <v>25</v>
      </c>
      <c r="D74" s="21" t="s">
        <v>245</v>
      </c>
      <c r="E74" s="18">
        <f t="shared" si="4"/>
        <v>767000</v>
      </c>
      <c r="F74" s="35">
        <v>767000</v>
      </c>
      <c r="G74" s="35">
        <v>585700</v>
      </c>
      <c r="H74" s="35">
        <v>27800</v>
      </c>
      <c r="I74" s="35"/>
      <c r="J74" s="18">
        <f t="shared" si="5"/>
        <v>0</v>
      </c>
      <c r="K74" s="18"/>
      <c r="L74" s="35"/>
      <c r="M74" s="35"/>
      <c r="N74" s="35"/>
      <c r="O74" s="18">
        <f>K74</f>
        <v>0</v>
      </c>
      <c r="P74" s="14">
        <f t="shared" si="1"/>
        <v>767000</v>
      </c>
    </row>
    <row r="75" spans="1:18" ht="39" customHeight="1" x14ac:dyDescent="0.2">
      <c r="A75" s="16" t="s">
        <v>246</v>
      </c>
      <c r="B75" s="16" t="s">
        <v>247</v>
      </c>
      <c r="C75" s="16" t="s">
        <v>25</v>
      </c>
      <c r="D75" s="21" t="s">
        <v>248</v>
      </c>
      <c r="E75" s="18">
        <f t="shared" si="4"/>
        <v>12997000</v>
      </c>
      <c r="F75" s="35">
        <f>8347000+4100000+500000+50000</f>
        <v>12997000</v>
      </c>
      <c r="G75" s="35"/>
      <c r="H75" s="35"/>
      <c r="I75" s="35"/>
      <c r="J75" s="18">
        <f t="shared" si="5"/>
        <v>0</v>
      </c>
      <c r="K75" s="18"/>
      <c r="L75" s="35"/>
      <c r="M75" s="35"/>
      <c r="N75" s="35"/>
      <c r="O75" s="18">
        <f>K75</f>
        <v>0</v>
      </c>
      <c r="P75" s="14">
        <f t="shared" si="1"/>
        <v>12997000</v>
      </c>
    </row>
    <row r="76" spans="1:18" ht="27" customHeight="1" x14ac:dyDescent="0.2">
      <c r="A76" s="16" t="s">
        <v>139</v>
      </c>
      <c r="B76" s="16" t="s">
        <v>136</v>
      </c>
      <c r="C76" s="16"/>
      <c r="D76" s="21" t="s">
        <v>69</v>
      </c>
      <c r="E76" s="18">
        <f t="shared" si="4"/>
        <v>400000</v>
      </c>
      <c r="F76" s="35">
        <f>F77</f>
        <v>400000</v>
      </c>
      <c r="G76" s="35">
        <f>G77</f>
        <v>0</v>
      </c>
      <c r="H76" s="35">
        <f>H77</f>
        <v>0</v>
      </c>
      <c r="I76" s="35">
        <f>I77</f>
        <v>0</v>
      </c>
      <c r="J76" s="18">
        <f>K76+N76</f>
        <v>0</v>
      </c>
      <c r="K76" s="35">
        <f>K77</f>
        <v>0</v>
      </c>
      <c r="L76" s="35">
        <f>L77</f>
        <v>0</v>
      </c>
      <c r="M76" s="35">
        <f>M77</f>
        <v>0</v>
      </c>
      <c r="N76" s="35">
        <f>N77</f>
        <v>0</v>
      </c>
      <c r="O76" s="35">
        <f>O77</f>
        <v>0</v>
      </c>
      <c r="P76" s="14">
        <f t="shared" si="1"/>
        <v>400000</v>
      </c>
      <c r="Q76" s="46"/>
      <c r="R76" s="47"/>
    </row>
    <row r="77" spans="1:18" ht="56.45" customHeight="1" x14ac:dyDescent="0.2">
      <c r="A77" s="16" t="s">
        <v>317</v>
      </c>
      <c r="B77" s="16" t="s">
        <v>318</v>
      </c>
      <c r="C77" s="16" t="s">
        <v>319</v>
      </c>
      <c r="D77" s="21" t="s">
        <v>320</v>
      </c>
      <c r="E77" s="18">
        <f t="shared" si="4"/>
        <v>400000</v>
      </c>
      <c r="F77" s="35">
        <v>400000</v>
      </c>
      <c r="G77" s="35"/>
      <c r="H77" s="35"/>
      <c r="I77" s="36"/>
      <c r="J77" s="18">
        <f>K77+N77</f>
        <v>0</v>
      </c>
      <c r="K77" s="35"/>
      <c r="L77" s="35"/>
      <c r="M77" s="35"/>
      <c r="N77" s="35">
        <f>O77</f>
        <v>0</v>
      </c>
      <c r="O77" s="18"/>
      <c r="P77" s="14">
        <f t="shared" si="1"/>
        <v>400000</v>
      </c>
      <c r="Q77" s="46"/>
      <c r="R77" s="47"/>
    </row>
    <row r="78" spans="1:18" s="15" customFormat="1" ht="25.5" x14ac:dyDescent="0.2">
      <c r="A78" s="12" t="s">
        <v>140</v>
      </c>
      <c r="B78" s="12"/>
      <c r="C78" s="12"/>
      <c r="D78" s="53" t="s">
        <v>387</v>
      </c>
      <c r="E78" s="14">
        <f t="shared" ref="E78:E116" si="6">F78+I78</f>
        <v>7575300</v>
      </c>
      <c r="F78" s="14">
        <f t="shared" ref="F78:I79" si="7">F79</f>
        <v>7575300</v>
      </c>
      <c r="G78" s="14">
        <f t="shared" si="7"/>
        <v>3620300</v>
      </c>
      <c r="H78" s="14">
        <f t="shared" si="7"/>
        <v>755900</v>
      </c>
      <c r="I78" s="14">
        <f t="shared" si="7"/>
        <v>0</v>
      </c>
      <c r="J78" s="14">
        <f t="shared" si="5"/>
        <v>50000</v>
      </c>
      <c r="K78" s="14">
        <f t="shared" ref="K78:O79" si="8">K79</f>
        <v>0</v>
      </c>
      <c r="L78" s="14">
        <f t="shared" si="8"/>
        <v>50000</v>
      </c>
      <c r="M78" s="14">
        <f t="shared" si="8"/>
        <v>0</v>
      </c>
      <c r="N78" s="14">
        <f t="shared" si="8"/>
        <v>0</v>
      </c>
      <c r="O78" s="14">
        <f t="shared" si="8"/>
        <v>0</v>
      </c>
      <c r="P78" s="14">
        <f t="shared" ref="P78:P118" si="9">E78+J78</f>
        <v>7625300</v>
      </c>
    </row>
    <row r="79" spans="1:18" ht="25.5" x14ac:dyDescent="0.2">
      <c r="A79" s="12" t="s">
        <v>141</v>
      </c>
      <c r="B79" s="12"/>
      <c r="C79" s="12"/>
      <c r="D79" s="53" t="s">
        <v>388</v>
      </c>
      <c r="E79" s="14">
        <f t="shared" si="6"/>
        <v>7575300</v>
      </c>
      <c r="F79" s="14">
        <f t="shared" si="7"/>
        <v>7575300</v>
      </c>
      <c r="G79" s="14">
        <f t="shared" si="7"/>
        <v>3620300</v>
      </c>
      <c r="H79" s="14">
        <f t="shared" si="7"/>
        <v>755900</v>
      </c>
      <c r="I79" s="14">
        <f t="shared" si="7"/>
        <v>0</v>
      </c>
      <c r="J79" s="14">
        <f t="shared" si="5"/>
        <v>50000</v>
      </c>
      <c r="K79" s="14">
        <f t="shared" si="8"/>
        <v>0</v>
      </c>
      <c r="L79" s="14">
        <f t="shared" si="8"/>
        <v>50000</v>
      </c>
      <c r="M79" s="14">
        <f t="shared" si="8"/>
        <v>0</v>
      </c>
      <c r="N79" s="14">
        <f t="shared" si="8"/>
        <v>0</v>
      </c>
      <c r="O79" s="14">
        <f t="shared" si="8"/>
        <v>0</v>
      </c>
      <c r="P79" s="14">
        <f t="shared" si="9"/>
        <v>7625300</v>
      </c>
    </row>
    <row r="80" spans="1:18" s="54" customFormat="1" ht="25.5" x14ac:dyDescent="0.2">
      <c r="A80" s="16" t="s">
        <v>142</v>
      </c>
      <c r="B80" s="16" t="s">
        <v>70</v>
      </c>
      <c r="C80" s="16"/>
      <c r="D80" s="21" t="s">
        <v>71</v>
      </c>
      <c r="E80" s="18">
        <f t="shared" si="6"/>
        <v>7575300</v>
      </c>
      <c r="F80" s="18">
        <f>F81+F82</f>
        <v>7575300</v>
      </c>
      <c r="G80" s="18">
        <f>G81+G82</f>
        <v>3620300</v>
      </c>
      <c r="H80" s="18">
        <f>H81+H82</f>
        <v>755900</v>
      </c>
      <c r="I80" s="18">
        <f>I81+I82</f>
        <v>0</v>
      </c>
      <c r="J80" s="18">
        <f t="shared" si="5"/>
        <v>50000</v>
      </c>
      <c r="K80" s="18">
        <f>K81+K82</f>
        <v>0</v>
      </c>
      <c r="L80" s="18">
        <f>L81+L82</f>
        <v>50000</v>
      </c>
      <c r="M80" s="18">
        <f>M81+M82</f>
        <v>0</v>
      </c>
      <c r="N80" s="18">
        <f>N81+N82</f>
        <v>0</v>
      </c>
      <c r="O80" s="18">
        <f>O81+O82</f>
        <v>0</v>
      </c>
      <c r="P80" s="14">
        <f t="shared" si="9"/>
        <v>7625300</v>
      </c>
    </row>
    <row r="81" spans="1:16" ht="73.900000000000006" customHeight="1" x14ac:dyDescent="0.2">
      <c r="A81" s="16" t="s">
        <v>282</v>
      </c>
      <c r="B81" s="16" t="s">
        <v>250</v>
      </c>
      <c r="C81" s="16" t="s">
        <v>17</v>
      </c>
      <c r="D81" s="21" t="s">
        <v>371</v>
      </c>
      <c r="E81" s="18">
        <f t="shared" si="6"/>
        <v>6834200</v>
      </c>
      <c r="F81" s="18">
        <v>6834200</v>
      </c>
      <c r="G81" s="18">
        <v>3620300</v>
      </c>
      <c r="H81" s="18">
        <v>755900</v>
      </c>
      <c r="I81" s="18"/>
      <c r="J81" s="18">
        <f t="shared" si="5"/>
        <v>50000</v>
      </c>
      <c r="K81" s="18"/>
      <c r="L81" s="18">
        <v>50000</v>
      </c>
      <c r="M81" s="18"/>
      <c r="N81" s="18"/>
      <c r="O81" s="18">
        <f>K81</f>
        <v>0</v>
      </c>
      <c r="P81" s="14">
        <f t="shared" si="9"/>
        <v>6884200</v>
      </c>
    </row>
    <row r="82" spans="1:16" ht="25.5" x14ac:dyDescent="0.2">
      <c r="A82" s="16" t="s">
        <v>283</v>
      </c>
      <c r="B82" s="16" t="s">
        <v>284</v>
      </c>
      <c r="C82" s="16" t="s">
        <v>17</v>
      </c>
      <c r="D82" s="21" t="s">
        <v>285</v>
      </c>
      <c r="E82" s="18">
        <f t="shared" si="6"/>
        <v>741100</v>
      </c>
      <c r="F82" s="18">
        <f>583700+157400</f>
        <v>741100</v>
      </c>
      <c r="G82" s="18"/>
      <c r="H82" s="18"/>
      <c r="I82" s="18"/>
      <c r="J82" s="18">
        <f t="shared" si="5"/>
        <v>0</v>
      </c>
      <c r="K82" s="18"/>
      <c r="L82" s="18"/>
      <c r="M82" s="18"/>
      <c r="N82" s="18"/>
      <c r="O82" s="18">
        <f>K82</f>
        <v>0</v>
      </c>
      <c r="P82" s="14">
        <f t="shared" si="9"/>
        <v>741100</v>
      </c>
    </row>
    <row r="83" spans="1:16" s="15" customFormat="1" ht="38.25" x14ac:dyDescent="0.2">
      <c r="A83" s="12" t="s">
        <v>119</v>
      </c>
      <c r="B83" s="30"/>
      <c r="C83" s="30"/>
      <c r="D83" s="51" t="s">
        <v>389</v>
      </c>
      <c r="E83" s="14">
        <f t="shared" si="6"/>
        <v>135978500</v>
      </c>
      <c r="F83" s="14">
        <f>F84</f>
        <v>135978500</v>
      </c>
      <c r="G83" s="14">
        <f>G84</f>
        <v>26295203</v>
      </c>
      <c r="H83" s="14">
        <f>H84</f>
        <v>2850359</v>
      </c>
      <c r="I83" s="14">
        <f>I84</f>
        <v>0</v>
      </c>
      <c r="J83" s="14">
        <f t="shared" si="5"/>
        <v>15898158</v>
      </c>
      <c r="K83" s="14">
        <f>K84</f>
        <v>12271357</v>
      </c>
      <c r="L83" s="14">
        <f>L84</f>
        <v>3522401</v>
      </c>
      <c r="M83" s="14">
        <f>M84</f>
        <v>773780</v>
      </c>
      <c r="N83" s="14">
        <f>N84</f>
        <v>186352</v>
      </c>
      <c r="O83" s="14">
        <f>O84</f>
        <v>12375757</v>
      </c>
      <c r="P83" s="14">
        <f t="shared" si="9"/>
        <v>151876658</v>
      </c>
    </row>
    <row r="84" spans="1:16" ht="38.25" x14ac:dyDescent="0.2">
      <c r="A84" s="12" t="s">
        <v>120</v>
      </c>
      <c r="B84" s="30"/>
      <c r="C84" s="30"/>
      <c r="D84" s="51" t="s">
        <v>390</v>
      </c>
      <c r="E84" s="14">
        <f t="shared" si="6"/>
        <v>135978500</v>
      </c>
      <c r="F84" s="14">
        <f>SUM(F85:F91)</f>
        <v>135978500</v>
      </c>
      <c r="G84" s="14">
        <f>SUM(G85:G91)</f>
        <v>26295203</v>
      </c>
      <c r="H84" s="14">
        <f>SUM(H85:H91)</f>
        <v>2850359</v>
      </c>
      <c r="I84" s="14">
        <f>SUM(I85:I91)</f>
        <v>0</v>
      </c>
      <c r="J84" s="14">
        <f t="shared" si="5"/>
        <v>15898158</v>
      </c>
      <c r="K84" s="14">
        <f>SUM(K85:K91)</f>
        <v>12271357</v>
      </c>
      <c r="L84" s="14">
        <f>SUM(L85:L91)</f>
        <v>3522401</v>
      </c>
      <c r="M84" s="14">
        <f>SUM(M85:M91)</f>
        <v>773780</v>
      </c>
      <c r="N84" s="14">
        <f>SUM(N85:N91)</f>
        <v>186352</v>
      </c>
      <c r="O84" s="14">
        <f>SUM(O85:O91)</f>
        <v>12375757</v>
      </c>
      <c r="P84" s="14">
        <f t="shared" si="9"/>
        <v>151876658</v>
      </c>
    </row>
    <row r="85" spans="1:16" ht="46.15" customHeight="1" x14ac:dyDescent="0.2">
      <c r="A85" s="32">
        <v>1011120</v>
      </c>
      <c r="B85" s="16" t="s">
        <v>38</v>
      </c>
      <c r="C85" s="16" t="s">
        <v>39</v>
      </c>
      <c r="D85" s="21" t="s">
        <v>124</v>
      </c>
      <c r="E85" s="18">
        <f t="shared" si="6"/>
        <v>42473851</v>
      </c>
      <c r="F85" s="35">
        <v>42473851</v>
      </c>
      <c r="G85" s="35"/>
      <c r="H85" s="35"/>
      <c r="I85" s="36"/>
      <c r="J85" s="18">
        <f t="shared" si="5"/>
        <v>1855201</v>
      </c>
      <c r="K85" s="18"/>
      <c r="L85" s="35">
        <v>1855201</v>
      </c>
      <c r="M85" s="35"/>
      <c r="N85" s="35"/>
      <c r="O85" s="18">
        <f>K85</f>
        <v>0</v>
      </c>
      <c r="P85" s="14">
        <f t="shared" si="9"/>
        <v>44329052</v>
      </c>
    </row>
    <row r="86" spans="1:16" x14ac:dyDescent="0.2">
      <c r="A86" s="32">
        <v>1014010</v>
      </c>
      <c r="B86" s="16" t="s">
        <v>115</v>
      </c>
      <c r="C86" s="16" t="s">
        <v>58</v>
      </c>
      <c r="D86" s="21" t="s">
        <v>114</v>
      </c>
      <c r="E86" s="18">
        <f t="shared" si="6"/>
        <v>26157690</v>
      </c>
      <c r="F86" s="35">
        <f>25145790+751900+260000</f>
        <v>26157690</v>
      </c>
      <c r="G86" s="35"/>
      <c r="H86" s="18"/>
      <c r="I86" s="19"/>
      <c r="J86" s="18">
        <f t="shared" si="5"/>
        <v>155100</v>
      </c>
      <c r="K86" s="18">
        <v>155100</v>
      </c>
      <c r="L86" s="35"/>
      <c r="M86" s="35"/>
      <c r="N86" s="18"/>
      <c r="O86" s="18">
        <f>K86</f>
        <v>155100</v>
      </c>
      <c r="P86" s="14">
        <f t="shared" si="9"/>
        <v>26312790</v>
      </c>
    </row>
    <row r="87" spans="1:16" ht="51" x14ac:dyDescent="0.2">
      <c r="A87" s="32">
        <v>1014020</v>
      </c>
      <c r="B87" s="16" t="s">
        <v>57</v>
      </c>
      <c r="C87" s="16" t="s">
        <v>59</v>
      </c>
      <c r="D87" s="21" t="s">
        <v>116</v>
      </c>
      <c r="E87" s="18">
        <f t="shared" si="6"/>
        <v>28103653</v>
      </c>
      <c r="F87" s="35">
        <f>27103653+1000000</f>
        <v>28103653</v>
      </c>
      <c r="G87" s="35"/>
      <c r="H87" s="18"/>
      <c r="I87" s="19"/>
      <c r="J87" s="18">
        <f t="shared" si="5"/>
        <v>1000000</v>
      </c>
      <c r="K87" s="18">
        <v>1000000</v>
      </c>
      <c r="L87" s="35"/>
      <c r="M87" s="35"/>
      <c r="N87" s="18"/>
      <c r="O87" s="18">
        <f>K87</f>
        <v>1000000</v>
      </c>
      <c r="P87" s="14">
        <f t="shared" si="9"/>
        <v>29103653</v>
      </c>
    </row>
    <row r="88" spans="1:16" x14ac:dyDescent="0.2">
      <c r="A88" s="32">
        <v>1014030</v>
      </c>
      <c r="B88" s="16" t="s">
        <v>168</v>
      </c>
      <c r="C88" s="16" t="s">
        <v>55</v>
      </c>
      <c r="D88" s="21" t="s">
        <v>117</v>
      </c>
      <c r="E88" s="18">
        <f t="shared" si="6"/>
        <v>18141668</v>
      </c>
      <c r="F88" s="35">
        <f>18061668+80000</f>
        <v>18141668</v>
      </c>
      <c r="G88" s="35">
        <v>13456515</v>
      </c>
      <c r="H88" s="35">
        <v>1156199</v>
      </c>
      <c r="I88" s="36"/>
      <c r="J88" s="18">
        <f t="shared" si="5"/>
        <v>530100</v>
      </c>
      <c r="K88" s="18">
        <v>300000</v>
      </c>
      <c r="L88" s="35">
        <v>183700</v>
      </c>
      <c r="M88" s="35">
        <v>69400</v>
      </c>
      <c r="N88" s="35">
        <v>10000</v>
      </c>
      <c r="O88" s="18">
        <f>K88+46400</f>
        <v>346400</v>
      </c>
      <c r="P88" s="14">
        <f t="shared" si="9"/>
        <v>18671768</v>
      </c>
    </row>
    <row r="89" spans="1:16" x14ac:dyDescent="0.2">
      <c r="A89" s="32">
        <v>1014040</v>
      </c>
      <c r="B89" s="16" t="s">
        <v>189</v>
      </c>
      <c r="C89" s="16" t="s">
        <v>55</v>
      </c>
      <c r="D89" s="21" t="s">
        <v>118</v>
      </c>
      <c r="E89" s="18">
        <f t="shared" si="6"/>
        <v>10908921</v>
      </c>
      <c r="F89" s="35">
        <f>10165821+743100</f>
        <v>10908921</v>
      </c>
      <c r="G89" s="35">
        <v>6997197</v>
      </c>
      <c r="H89" s="35">
        <v>1015132</v>
      </c>
      <c r="I89" s="36"/>
      <c r="J89" s="18">
        <f t="shared" si="5"/>
        <v>2255200</v>
      </c>
      <c r="K89" s="18">
        <f>100000+90000+1720700</f>
        <v>1910700</v>
      </c>
      <c r="L89" s="35">
        <v>301500</v>
      </c>
      <c r="M89" s="35">
        <v>40000</v>
      </c>
      <c r="N89" s="35">
        <v>28802</v>
      </c>
      <c r="O89" s="18">
        <f>K89+43000</f>
        <v>1953700</v>
      </c>
      <c r="P89" s="14">
        <f t="shared" si="9"/>
        <v>13164121</v>
      </c>
    </row>
    <row r="90" spans="1:16" x14ac:dyDescent="0.2">
      <c r="A90" s="32">
        <v>1014050</v>
      </c>
      <c r="B90" s="16" t="s">
        <v>122</v>
      </c>
      <c r="C90" s="16" t="s">
        <v>61</v>
      </c>
      <c r="D90" s="21" t="s">
        <v>121</v>
      </c>
      <c r="E90" s="18">
        <f t="shared" si="6"/>
        <v>4161617</v>
      </c>
      <c r="F90" s="35">
        <f>3916817+244800</f>
        <v>4161617</v>
      </c>
      <c r="G90" s="35">
        <v>2668206</v>
      </c>
      <c r="H90" s="35">
        <v>464336</v>
      </c>
      <c r="I90" s="36"/>
      <c r="J90" s="18">
        <f t="shared" si="5"/>
        <v>9979557</v>
      </c>
      <c r="K90" s="18">
        <f>3336686+3329262+2239609</f>
        <v>8905557</v>
      </c>
      <c r="L90" s="35">
        <v>1059000</v>
      </c>
      <c r="M90" s="35">
        <v>619100</v>
      </c>
      <c r="N90" s="35">
        <v>131100</v>
      </c>
      <c r="O90" s="18">
        <f>K90+15000</f>
        <v>8920557</v>
      </c>
      <c r="P90" s="14">
        <f t="shared" si="9"/>
        <v>14141174</v>
      </c>
    </row>
    <row r="91" spans="1:16" ht="25.5" x14ac:dyDescent="0.2">
      <c r="A91" s="32">
        <v>1014080</v>
      </c>
      <c r="B91" s="16" t="s">
        <v>60</v>
      </c>
      <c r="C91" s="16"/>
      <c r="D91" s="21" t="s">
        <v>123</v>
      </c>
      <c r="E91" s="18">
        <f t="shared" si="6"/>
        <v>6031100</v>
      </c>
      <c r="F91" s="35">
        <f>F92+F93</f>
        <v>6031100</v>
      </c>
      <c r="G91" s="35">
        <f>G92+G93</f>
        <v>3173285</v>
      </c>
      <c r="H91" s="35">
        <f>H92+H93</f>
        <v>214692</v>
      </c>
      <c r="I91" s="35">
        <f>I92+I93</f>
        <v>0</v>
      </c>
      <c r="J91" s="18">
        <f t="shared" si="5"/>
        <v>123000</v>
      </c>
      <c r="K91" s="35">
        <f>K92+K93</f>
        <v>0</v>
      </c>
      <c r="L91" s="35">
        <f>L92+L93</f>
        <v>123000</v>
      </c>
      <c r="M91" s="35">
        <f>M92+M93</f>
        <v>45280</v>
      </c>
      <c r="N91" s="35">
        <f>N92+N93</f>
        <v>16450</v>
      </c>
      <c r="O91" s="35">
        <f>O92+O93</f>
        <v>0</v>
      </c>
      <c r="P91" s="14">
        <f t="shared" si="9"/>
        <v>6154100</v>
      </c>
    </row>
    <row r="92" spans="1:16" ht="25.5" x14ac:dyDescent="0.2">
      <c r="A92" s="32">
        <v>1014081</v>
      </c>
      <c r="B92" s="41" t="s">
        <v>286</v>
      </c>
      <c r="C92" s="16" t="s">
        <v>287</v>
      </c>
      <c r="D92" s="21" t="s">
        <v>288</v>
      </c>
      <c r="E92" s="18">
        <f t="shared" si="6"/>
        <v>4679800</v>
      </c>
      <c r="F92" s="35">
        <f>4637800+42000</f>
        <v>4679800</v>
      </c>
      <c r="G92" s="35">
        <v>3173285</v>
      </c>
      <c r="H92" s="35">
        <v>214692</v>
      </c>
      <c r="I92" s="35"/>
      <c r="J92" s="18">
        <f t="shared" si="5"/>
        <v>123000</v>
      </c>
      <c r="K92" s="18"/>
      <c r="L92" s="18">
        <v>123000</v>
      </c>
      <c r="M92" s="18">
        <v>45280</v>
      </c>
      <c r="N92" s="18">
        <v>16450</v>
      </c>
      <c r="O92" s="18">
        <f>K92</f>
        <v>0</v>
      </c>
      <c r="P92" s="14">
        <f t="shared" si="9"/>
        <v>4802800</v>
      </c>
    </row>
    <row r="93" spans="1:16" x14ac:dyDescent="0.2">
      <c r="A93" s="32">
        <v>1014082</v>
      </c>
      <c r="B93" s="41" t="s">
        <v>289</v>
      </c>
      <c r="C93" s="16" t="s">
        <v>287</v>
      </c>
      <c r="D93" s="48" t="s">
        <v>290</v>
      </c>
      <c r="E93" s="18">
        <f t="shared" si="6"/>
        <v>1351300</v>
      </c>
      <c r="F93" s="35">
        <f>1195400+155900</f>
        <v>1351300</v>
      </c>
      <c r="G93" s="35"/>
      <c r="H93" s="35"/>
      <c r="I93" s="35"/>
      <c r="J93" s="18">
        <f t="shared" si="5"/>
        <v>0</v>
      </c>
      <c r="K93" s="18"/>
      <c r="L93" s="18"/>
      <c r="M93" s="18"/>
      <c r="N93" s="18"/>
      <c r="O93" s="18">
        <f>K93</f>
        <v>0</v>
      </c>
      <c r="P93" s="14">
        <f t="shared" si="9"/>
        <v>1351300</v>
      </c>
    </row>
    <row r="94" spans="1:16" s="15" customFormat="1" ht="25.5" x14ac:dyDescent="0.2">
      <c r="A94" s="29">
        <v>1100000</v>
      </c>
      <c r="B94" s="12"/>
      <c r="C94" s="12"/>
      <c r="D94" s="31" t="s">
        <v>391</v>
      </c>
      <c r="E94" s="14">
        <f t="shared" si="6"/>
        <v>38058863</v>
      </c>
      <c r="F94" s="14">
        <f>F95</f>
        <v>38058863</v>
      </c>
      <c r="G94" s="14">
        <f>G95</f>
        <v>12565100</v>
      </c>
      <c r="H94" s="14">
        <f>H95</f>
        <v>1160720</v>
      </c>
      <c r="I94" s="14">
        <f>I95</f>
        <v>0</v>
      </c>
      <c r="J94" s="14">
        <f t="shared" si="5"/>
        <v>650697</v>
      </c>
      <c r="K94" s="14">
        <f>K95</f>
        <v>445697</v>
      </c>
      <c r="L94" s="14">
        <f>L95</f>
        <v>205000</v>
      </c>
      <c r="M94" s="14">
        <f>M95</f>
        <v>0</v>
      </c>
      <c r="N94" s="14">
        <f>N95</f>
        <v>0</v>
      </c>
      <c r="O94" s="14">
        <f>O95</f>
        <v>445697</v>
      </c>
      <c r="P94" s="14">
        <f t="shared" si="9"/>
        <v>38709560</v>
      </c>
    </row>
    <row r="95" spans="1:16" s="15" customFormat="1" ht="25.5" x14ac:dyDescent="0.2">
      <c r="A95" s="29">
        <v>1110000</v>
      </c>
      <c r="B95" s="12"/>
      <c r="C95" s="12"/>
      <c r="D95" s="31" t="s">
        <v>392</v>
      </c>
      <c r="E95" s="14">
        <f t="shared" si="6"/>
        <v>38058863</v>
      </c>
      <c r="F95" s="14">
        <f>F96+F98+F100+F102+F104+F107+F110+F114+F116</f>
        <v>38058863</v>
      </c>
      <c r="G95" s="14">
        <f>G96+G98+G100+G102+G104+G107+G110+G114+G116</f>
        <v>12565100</v>
      </c>
      <c r="H95" s="14">
        <f>H96+H98+H100+H102+H104+H107+H110+H114+H116</f>
        <v>1160720</v>
      </c>
      <c r="I95" s="14">
        <f>I96+I98+I100+I102+I104+I107+I110+I114+I116</f>
        <v>0</v>
      </c>
      <c r="J95" s="14">
        <f t="shared" si="5"/>
        <v>650697</v>
      </c>
      <c r="K95" s="14">
        <f>K96+K98+K100+K102+K104+K107+K110+K114+K116</f>
        <v>445697</v>
      </c>
      <c r="L95" s="14">
        <f>L96+L98+L100+L102+L104+L107+L110+L114+L116</f>
        <v>205000</v>
      </c>
      <c r="M95" s="14">
        <f>M96+M98+M100+M102+M104+M107+M110+M114+M116</f>
        <v>0</v>
      </c>
      <c r="N95" s="14">
        <f>N96+N98+N100+N102+N104+N107+N110+N114+N116</f>
        <v>0</v>
      </c>
      <c r="O95" s="14">
        <f>O96+O98+O100+O102+O104+O107+O110+O114+O116</f>
        <v>445697</v>
      </c>
      <c r="P95" s="14">
        <f t="shared" si="9"/>
        <v>38709560</v>
      </c>
    </row>
    <row r="96" spans="1:16" ht="25.5" x14ac:dyDescent="0.2">
      <c r="A96" s="32">
        <v>1113110</v>
      </c>
      <c r="B96" s="16" t="s">
        <v>70</v>
      </c>
      <c r="C96" s="16"/>
      <c r="D96" s="23" t="s">
        <v>71</v>
      </c>
      <c r="E96" s="18">
        <f t="shared" si="6"/>
        <v>787030</v>
      </c>
      <c r="F96" s="18">
        <f>F97</f>
        <v>787030</v>
      </c>
      <c r="G96" s="18">
        <f>G97</f>
        <v>493600</v>
      </c>
      <c r="H96" s="18">
        <f>H97</f>
        <v>74750</v>
      </c>
      <c r="I96" s="18">
        <f>I97</f>
        <v>0</v>
      </c>
      <c r="J96" s="18">
        <f t="shared" si="5"/>
        <v>6271</v>
      </c>
      <c r="K96" s="18">
        <f>K97</f>
        <v>6271</v>
      </c>
      <c r="L96" s="18">
        <f>L97</f>
        <v>0</v>
      </c>
      <c r="M96" s="18">
        <f>M97</f>
        <v>0</v>
      </c>
      <c r="N96" s="18">
        <f>N97</f>
        <v>0</v>
      </c>
      <c r="O96" s="18">
        <f>O97</f>
        <v>6271</v>
      </c>
      <c r="P96" s="14">
        <f t="shared" si="9"/>
        <v>793301</v>
      </c>
    </row>
    <row r="97" spans="1:16" ht="78.599999999999994" customHeight="1" x14ac:dyDescent="0.2">
      <c r="A97" s="32">
        <v>1113111</v>
      </c>
      <c r="B97" s="16" t="s">
        <v>250</v>
      </c>
      <c r="C97" s="16" t="s">
        <v>17</v>
      </c>
      <c r="D97" s="21" t="s">
        <v>371</v>
      </c>
      <c r="E97" s="18">
        <f t="shared" si="6"/>
        <v>787030</v>
      </c>
      <c r="F97" s="18">
        <f>769530+17500</f>
        <v>787030</v>
      </c>
      <c r="G97" s="18">
        <v>493600</v>
      </c>
      <c r="H97" s="18">
        <v>74750</v>
      </c>
      <c r="I97" s="19"/>
      <c r="J97" s="18">
        <f t="shared" si="5"/>
        <v>6271</v>
      </c>
      <c r="K97" s="18">
        <f>6271</f>
        <v>6271</v>
      </c>
      <c r="L97" s="18"/>
      <c r="M97" s="18"/>
      <c r="N97" s="18"/>
      <c r="O97" s="18">
        <f>K97</f>
        <v>6271</v>
      </c>
      <c r="P97" s="14">
        <f t="shared" si="9"/>
        <v>793301</v>
      </c>
    </row>
    <row r="98" spans="1:16" ht="28.15" customHeight="1" x14ac:dyDescent="0.2">
      <c r="A98" s="32">
        <v>1113120</v>
      </c>
      <c r="B98" s="16">
        <v>3120</v>
      </c>
      <c r="C98" s="16"/>
      <c r="D98" s="23" t="s">
        <v>73</v>
      </c>
      <c r="E98" s="18">
        <f t="shared" si="6"/>
        <v>1560840</v>
      </c>
      <c r="F98" s="18">
        <f>F99</f>
        <v>1560840</v>
      </c>
      <c r="G98" s="18">
        <f>G99</f>
        <v>1048600</v>
      </c>
      <c r="H98" s="18">
        <f>H99</f>
        <v>72040</v>
      </c>
      <c r="I98" s="18">
        <f>I99</f>
        <v>0</v>
      </c>
      <c r="J98" s="18">
        <f t="shared" si="5"/>
        <v>18000</v>
      </c>
      <c r="K98" s="18">
        <f>K99</f>
        <v>18000</v>
      </c>
      <c r="L98" s="18">
        <f>L99</f>
        <v>0</v>
      </c>
      <c r="M98" s="18">
        <f>M99</f>
        <v>0</v>
      </c>
      <c r="N98" s="18">
        <f>N99</f>
        <v>0</v>
      </c>
      <c r="O98" s="18">
        <f>O99</f>
        <v>18000</v>
      </c>
      <c r="P98" s="14">
        <f t="shared" si="9"/>
        <v>1578840</v>
      </c>
    </row>
    <row r="99" spans="1:16" ht="43.15" customHeight="1" x14ac:dyDescent="0.2">
      <c r="A99" s="32">
        <v>1113121</v>
      </c>
      <c r="B99" s="16">
        <v>3121</v>
      </c>
      <c r="C99" s="16" t="s">
        <v>17</v>
      </c>
      <c r="D99" s="21" t="s">
        <v>251</v>
      </c>
      <c r="E99" s="18">
        <f t="shared" si="6"/>
        <v>1560840</v>
      </c>
      <c r="F99" s="18">
        <v>1560840</v>
      </c>
      <c r="G99" s="18">
        <v>1048600</v>
      </c>
      <c r="H99" s="18">
        <v>72040</v>
      </c>
      <c r="I99" s="19"/>
      <c r="J99" s="18">
        <f t="shared" si="5"/>
        <v>18000</v>
      </c>
      <c r="K99" s="18">
        <f>18000</f>
        <v>18000</v>
      </c>
      <c r="L99" s="18"/>
      <c r="M99" s="18"/>
      <c r="N99" s="18"/>
      <c r="O99" s="18">
        <f>K99</f>
        <v>18000</v>
      </c>
      <c r="P99" s="14">
        <f t="shared" si="9"/>
        <v>1578840</v>
      </c>
    </row>
    <row r="100" spans="1:16" ht="25.5" x14ac:dyDescent="0.2">
      <c r="A100" s="32">
        <v>1113130</v>
      </c>
      <c r="B100" s="16" t="s">
        <v>72</v>
      </c>
      <c r="C100" s="16"/>
      <c r="D100" s="21" t="s">
        <v>78</v>
      </c>
      <c r="E100" s="18">
        <f t="shared" si="6"/>
        <v>1020400</v>
      </c>
      <c r="F100" s="18">
        <f>F101</f>
        <v>1020400</v>
      </c>
      <c r="G100" s="18">
        <f>G101</f>
        <v>0</v>
      </c>
      <c r="H100" s="18">
        <f>H101</f>
        <v>0</v>
      </c>
      <c r="I100" s="18">
        <f>I101</f>
        <v>0</v>
      </c>
      <c r="J100" s="18">
        <f t="shared" si="5"/>
        <v>0</v>
      </c>
      <c r="K100" s="18">
        <f>K101</f>
        <v>0</v>
      </c>
      <c r="L100" s="18">
        <f>L101</f>
        <v>0</v>
      </c>
      <c r="M100" s="18">
        <f>M101</f>
        <v>0</v>
      </c>
      <c r="N100" s="18">
        <f>N101</f>
        <v>0</v>
      </c>
      <c r="O100" s="18">
        <f>O101</f>
        <v>0</v>
      </c>
      <c r="P100" s="14">
        <f t="shared" si="9"/>
        <v>1020400</v>
      </c>
    </row>
    <row r="101" spans="1:16" ht="38.25" x14ac:dyDescent="0.2">
      <c r="A101" s="32">
        <v>1113131</v>
      </c>
      <c r="B101" s="16" t="s">
        <v>252</v>
      </c>
      <c r="C101" s="16" t="s">
        <v>17</v>
      </c>
      <c r="D101" s="21" t="s">
        <v>253</v>
      </c>
      <c r="E101" s="18">
        <f t="shared" si="6"/>
        <v>1020400</v>
      </c>
      <c r="F101" s="18">
        <v>1020400</v>
      </c>
      <c r="G101" s="18"/>
      <c r="H101" s="18"/>
      <c r="I101" s="19"/>
      <c r="J101" s="18">
        <f t="shared" si="5"/>
        <v>0</v>
      </c>
      <c r="K101" s="18"/>
      <c r="L101" s="18"/>
      <c r="M101" s="18"/>
      <c r="N101" s="18"/>
      <c r="O101" s="18">
        <f>K101</f>
        <v>0</v>
      </c>
      <c r="P101" s="14">
        <f t="shared" si="9"/>
        <v>1020400</v>
      </c>
    </row>
    <row r="102" spans="1:16" x14ac:dyDescent="0.2">
      <c r="A102" s="32">
        <v>1113240</v>
      </c>
      <c r="B102" s="16" t="s">
        <v>175</v>
      </c>
      <c r="C102" s="16"/>
      <c r="D102" s="21" t="s">
        <v>138</v>
      </c>
      <c r="E102" s="18">
        <f t="shared" si="6"/>
        <v>4368693</v>
      </c>
      <c r="F102" s="18">
        <f>F103</f>
        <v>4368693</v>
      </c>
      <c r="G102" s="18">
        <f>G103</f>
        <v>2245400</v>
      </c>
      <c r="H102" s="18">
        <f>H103</f>
        <v>823230</v>
      </c>
      <c r="I102" s="18">
        <f>I103</f>
        <v>0</v>
      </c>
      <c r="J102" s="18">
        <f t="shared" si="5"/>
        <v>321002</v>
      </c>
      <c r="K102" s="18">
        <f>K103</f>
        <v>116002</v>
      </c>
      <c r="L102" s="18">
        <f>L103</f>
        <v>205000</v>
      </c>
      <c r="M102" s="18">
        <f>M103</f>
        <v>0</v>
      </c>
      <c r="N102" s="18">
        <f>N103</f>
        <v>0</v>
      </c>
      <c r="O102" s="18">
        <f>O103</f>
        <v>116002</v>
      </c>
      <c r="P102" s="14">
        <f t="shared" si="9"/>
        <v>4689695</v>
      </c>
    </row>
    <row r="103" spans="1:16" ht="38.25" x14ac:dyDescent="0.2">
      <c r="A103" s="32">
        <v>1113241</v>
      </c>
      <c r="B103" s="16" t="s">
        <v>244</v>
      </c>
      <c r="C103" s="16" t="s">
        <v>25</v>
      </c>
      <c r="D103" s="21" t="s">
        <v>245</v>
      </c>
      <c r="E103" s="18">
        <f t="shared" si="6"/>
        <v>4368693</v>
      </c>
      <c r="F103" s="18">
        <f>4300730+6000+61963</f>
        <v>4368693</v>
      </c>
      <c r="G103" s="18">
        <v>2245400</v>
      </c>
      <c r="H103" s="18">
        <v>823230</v>
      </c>
      <c r="I103" s="18"/>
      <c r="J103" s="18">
        <f t="shared" si="5"/>
        <v>321002</v>
      </c>
      <c r="K103" s="18">
        <f>107002+9000</f>
        <v>116002</v>
      </c>
      <c r="L103" s="18">
        <v>205000</v>
      </c>
      <c r="M103" s="18"/>
      <c r="N103" s="18"/>
      <c r="O103" s="18">
        <f>K103</f>
        <v>116002</v>
      </c>
      <c r="P103" s="14">
        <f t="shared" si="9"/>
        <v>4689695</v>
      </c>
    </row>
    <row r="104" spans="1:16" ht="26.45" customHeight="1" x14ac:dyDescent="0.2">
      <c r="A104" s="32">
        <v>1115010</v>
      </c>
      <c r="B104" s="16" t="s">
        <v>66</v>
      </c>
      <c r="C104" s="16"/>
      <c r="D104" s="21" t="s">
        <v>68</v>
      </c>
      <c r="E104" s="18">
        <f t="shared" si="6"/>
        <v>10895170</v>
      </c>
      <c r="F104" s="18">
        <f>F105+F106</f>
        <v>10895170</v>
      </c>
      <c r="G104" s="18">
        <f>G105+G106</f>
        <v>0</v>
      </c>
      <c r="H104" s="18">
        <f>H105+H106</f>
        <v>0</v>
      </c>
      <c r="I104" s="18">
        <f>I105+I106</f>
        <v>0</v>
      </c>
      <c r="J104" s="18">
        <f t="shared" si="5"/>
        <v>0</v>
      </c>
      <c r="K104" s="18">
        <f>K105+K106</f>
        <v>0</v>
      </c>
      <c r="L104" s="18">
        <f>L105+L106</f>
        <v>0</v>
      </c>
      <c r="M104" s="18">
        <f>M105+M106</f>
        <v>0</v>
      </c>
      <c r="N104" s="18">
        <f>N105+N106</f>
        <v>0</v>
      </c>
      <c r="O104" s="18">
        <f>O105+O106</f>
        <v>0</v>
      </c>
      <c r="P104" s="14">
        <f t="shared" si="9"/>
        <v>10895170</v>
      </c>
    </row>
    <row r="105" spans="1:16" ht="38.25" x14ac:dyDescent="0.2">
      <c r="A105" s="32">
        <v>1115011</v>
      </c>
      <c r="B105" s="16" t="s">
        <v>254</v>
      </c>
      <c r="C105" s="16" t="s">
        <v>255</v>
      </c>
      <c r="D105" s="21" t="s">
        <v>256</v>
      </c>
      <c r="E105" s="18">
        <f t="shared" si="6"/>
        <v>8450090</v>
      </c>
      <c r="F105" s="18">
        <v>8450090</v>
      </c>
      <c r="G105" s="18"/>
      <c r="H105" s="18"/>
      <c r="I105" s="19"/>
      <c r="J105" s="18">
        <f t="shared" si="5"/>
        <v>0</v>
      </c>
      <c r="K105" s="18"/>
      <c r="L105" s="18"/>
      <c r="M105" s="18"/>
      <c r="N105" s="18"/>
      <c r="O105" s="18">
        <f>K105</f>
        <v>0</v>
      </c>
      <c r="P105" s="14">
        <f t="shared" si="9"/>
        <v>8450090</v>
      </c>
    </row>
    <row r="106" spans="1:16" ht="38.25" x14ac:dyDescent="0.2">
      <c r="A106" s="32">
        <v>1115012</v>
      </c>
      <c r="B106" s="16" t="s">
        <v>257</v>
      </c>
      <c r="C106" s="16" t="s">
        <v>255</v>
      </c>
      <c r="D106" s="21" t="s">
        <v>258</v>
      </c>
      <c r="E106" s="18">
        <f t="shared" si="6"/>
        <v>2445080</v>
      </c>
      <c r="F106" s="18">
        <v>2445080</v>
      </c>
      <c r="G106" s="18"/>
      <c r="H106" s="18"/>
      <c r="I106" s="19"/>
      <c r="J106" s="18">
        <f t="shared" si="5"/>
        <v>0</v>
      </c>
      <c r="K106" s="18"/>
      <c r="L106" s="18"/>
      <c r="M106" s="18"/>
      <c r="N106" s="18"/>
      <c r="O106" s="18">
        <f>K106</f>
        <v>0</v>
      </c>
      <c r="P106" s="14">
        <f t="shared" si="9"/>
        <v>2445080</v>
      </c>
    </row>
    <row r="107" spans="1:16" ht="42.6" customHeight="1" x14ac:dyDescent="0.2">
      <c r="A107" s="32">
        <v>1115020</v>
      </c>
      <c r="B107" s="16" t="s">
        <v>67</v>
      </c>
      <c r="C107" s="16"/>
      <c r="D107" s="21" t="s">
        <v>199</v>
      </c>
      <c r="E107" s="18">
        <f>F107+I107</f>
        <v>2630760</v>
      </c>
      <c r="F107" s="18">
        <f>F108+F109</f>
        <v>2630760</v>
      </c>
      <c r="G107" s="18">
        <f>G108+G109</f>
        <v>1773200</v>
      </c>
      <c r="H107" s="18">
        <f>H108+H109</f>
        <v>21860</v>
      </c>
      <c r="I107" s="18">
        <f>I108+I109</f>
        <v>0</v>
      </c>
      <c r="J107" s="18">
        <f t="shared" si="5"/>
        <v>0</v>
      </c>
      <c r="K107" s="18">
        <f>K108+K109</f>
        <v>0</v>
      </c>
      <c r="L107" s="18">
        <f>L108+L109</f>
        <v>0</v>
      </c>
      <c r="M107" s="18">
        <f>M108+M109</f>
        <v>0</v>
      </c>
      <c r="N107" s="18">
        <f>N108+N109</f>
        <v>0</v>
      </c>
      <c r="O107" s="18">
        <f>O108+O109</f>
        <v>0</v>
      </c>
      <c r="P107" s="14">
        <f t="shared" si="9"/>
        <v>2630760</v>
      </c>
    </row>
    <row r="108" spans="1:16" ht="42.6" customHeight="1" x14ac:dyDescent="0.2">
      <c r="A108" s="32">
        <v>1115021</v>
      </c>
      <c r="B108" s="16" t="s">
        <v>259</v>
      </c>
      <c r="C108" s="16" t="s">
        <v>255</v>
      </c>
      <c r="D108" s="21" t="s">
        <v>260</v>
      </c>
      <c r="E108" s="18">
        <f>F108+I108</f>
        <v>2340860</v>
      </c>
      <c r="F108" s="18">
        <v>2340860</v>
      </c>
      <c r="G108" s="18">
        <v>1773200</v>
      </c>
      <c r="H108" s="18">
        <v>21860</v>
      </c>
      <c r="I108" s="19"/>
      <c r="J108" s="18">
        <f t="shared" si="5"/>
        <v>0</v>
      </c>
      <c r="K108" s="18"/>
      <c r="L108" s="18"/>
      <c r="M108" s="18"/>
      <c r="N108" s="18"/>
      <c r="O108" s="18">
        <f>K108</f>
        <v>0</v>
      </c>
      <c r="P108" s="14">
        <f t="shared" si="9"/>
        <v>2340860</v>
      </c>
    </row>
    <row r="109" spans="1:16" ht="38.25" x14ac:dyDescent="0.2">
      <c r="A109" s="32">
        <v>1115022</v>
      </c>
      <c r="B109" s="16" t="s">
        <v>261</v>
      </c>
      <c r="C109" s="16" t="s">
        <v>255</v>
      </c>
      <c r="D109" s="21" t="s">
        <v>262</v>
      </c>
      <c r="E109" s="18">
        <f>F109+I109</f>
        <v>289900</v>
      </c>
      <c r="F109" s="18">
        <v>289900</v>
      </c>
      <c r="G109" s="18"/>
      <c r="H109" s="18"/>
      <c r="I109" s="19"/>
      <c r="J109" s="18">
        <f t="shared" si="5"/>
        <v>0</v>
      </c>
      <c r="K109" s="18"/>
      <c r="L109" s="18"/>
      <c r="M109" s="18"/>
      <c r="N109" s="18"/>
      <c r="O109" s="18">
        <f>K109</f>
        <v>0</v>
      </c>
      <c r="P109" s="14">
        <f t="shared" si="9"/>
        <v>289900</v>
      </c>
    </row>
    <row r="110" spans="1:16" s="54" customFormat="1" ht="25.5" x14ac:dyDescent="0.2">
      <c r="A110" s="32">
        <v>1115030</v>
      </c>
      <c r="B110" s="16" t="s">
        <v>76</v>
      </c>
      <c r="C110" s="16"/>
      <c r="D110" s="21" t="s">
        <v>75</v>
      </c>
      <c r="E110" s="18">
        <f t="shared" si="6"/>
        <v>12542990</v>
      </c>
      <c r="F110" s="18">
        <f>F111+F112+F113</f>
        <v>12542990</v>
      </c>
      <c r="G110" s="18">
        <f>G111+G112+G113</f>
        <v>6489000</v>
      </c>
      <c r="H110" s="18">
        <f>H111+H112+H113</f>
        <v>145480</v>
      </c>
      <c r="I110" s="18">
        <f>I111+I112+I113</f>
        <v>0</v>
      </c>
      <c r="J110" s="18">
        <f t="shared" si="5"/>
        <v>305424</v>
      </c>
      <c r="K110" s="18">
        <f>K111+K112+K113</f>
        <v>305424</v>
      </c>
      <c r="L110" s="18">
        <f>L111+L112+L113</f>
        <v>0</v>
      </c>
      <c r="M110" s="18">
        <f>M111+M112+M113</f>
        <v>0</v>
      </c>
      <c r="N110" s="18">
        <f>N111+N112+N113</f>
        <v>0</v>
      </c>
      <c r="O110" s="18">
        <f>O111+O112+O113</f>
        <v>305424</v>
      </c>
      <c r="P110" s="14">
        <f t="shared" si="9"/>
        <v>12848414</v>
      </c>
    </row>
    <row r="111" spans="1:16" ht="38.25" x14ac:dyDescent="0.2">
      <c r="A111" s="32">
        <v>1115031</v>
      </c>
      <c r="B111" s="16" t="s">
        <v>263</v>
      </c>
      <c r="C111" s="16" t="s">
        <v>255</v>
      </c>
      <c r="D111" s="21" t="s">
        <v>264</v>
      </c>
      <c r="E111" s="18">
        <f>F111+I111</f>
        <v>4808360</v>
      </c>
      <c r="F111" s="18">
        <v>4808360</v>
      </c>
      <c r="G111" s="18">
        <v>3226900</v>
      </c>
      <c r="H111" s="18">
        <v>54260</v>
      </c>
      <c r="I111" s="19"/>
      <c r="J111" s="18">
        <f t="shared" si="5"/>
        <v>305424</v>
      </c>
      <c r="K111" s="18">
        <f>25000+7800+57764+67860+37800+109200</f>
        <v>305424</v>
      </c>
      <c r="L111" s="18"/>
      <c r="M111" s="18"/>
      <c r="N111" s="18"/>
      <c r="O111" s="18">
        <f>K111</f>
        <v>305424</v>
      </c>
      <c r="P111" s="14">
        <f t="shared" si="9"/>
        <v>5113784</v>
      </c>
    </row>
    <row r="112" spans="1:16" ht="38.25" x14ac:dyDescent="0.2">
      <c r="A112" s="32">
        <v>1115032</v>
      </c>
      <c r="B112" s="16" t="s">
        <v>265</v>
      </c>
      <c r="C112" s="16" t="s">
        <v>255</v>
      </c>
      <c r="D112" s="21" t="s">
        <v>266</v>
      </c>
      <c r="E112" s="18">
        <f>F112+I112</f>
        <v>2572600</v>
      </c>
      <c r="F112" s="18">
        <v>2572600</v>
      </c>
      <c r="G112" s="18"/>
      <c r="H112" s="18"/>
      <c r="I112" s="19"/>
      <c r="J112" s="18">
        <f t="shared" si="5"/>
        <v>0</v>
      </c>
      <c r="K112" s="18"/>
      <c r="L112" s="18"/>
      <c r="M112" s="18"/>
      <c r="N112" s="18"/>
      <c r="O112" s="18">
        <f>K112</f>
        <v>0</v>
      </c>
      <c r="P112" s="14">
        <f t="shared" si="9"/>
        <v>2572600</v>
      </c>
    </row>
    <row r="113" spans="1:18" ht="44.45" customHeight="1" x14ac:dyDescent="0.2">
      <c r="A113" s="32">
        <v>1115033</v>
      </c>
      <c r="B113" s="16" t="s">
        <v>267</v>
      </c>
      <c r="C113" s="16" t="s">
        <v>255</v>
      </c>
      <c r="D113" s="21" t="s">
        <v>268</v>
      </c>
      <c r="E113" s="18">
        <f>F113+I113</f>
        <v>5162030</v>
      </c>
      <c r="F113" s="18">
        <f>4962030+200000</f>
        <v>5162030</v>
      </c>
      <c r="G113" s="18">
        <v>3262100</v>
      </c>
      <c r="H113" s="18">
        <v>91220</v>
      </c>
      <c r="I113" s="19"/>
      <c r="J113" s="18">
        <f t="shared" si="5"/>
        <v>0</v>
      </c>
      <c r="K113" s="18"/>
      <c r="L113" s="18"/>
      <c r="M113" s="18"/>
      <c r="N113" s="18"/>
      <c r="O113" s="18">
        <f>K113</f>
        <v>0</v>
      </c>
      <c r="P113" s="14">
        <f t="shared" si="9"/>
        <v>5162030</v>
      </c>
    </row>
    <row r="114" spans="1:18" ht="25.5" x14ac:dyDescent="0.2">
      <c r="A114" s="32">
        <v>1115050</v>
      </c>
      <c r="B114" s="16" t="s">
        <v>79</v>
      </c>
      <c r="C114" s="16"/>
      <c r="D114" s="21" t="s">
        <v>80</v>
      </c>
      <c r="E114" s="18">
        <f>F114+I114</f>
        <v>1608200</v>
      </c>
      <c r="F114" s="18">
        <f>F115</f>
        <v>1608200</v>
      </c>
      <c r="G114" s="18">
        <f>G115</f>
        <v>0</v>
      </c>
      <c r="H114" s="18">
        <f>H115</f>
        <v>0</v>
      </c>
      <c r="I114" s="18">
        <f>I115</f>
        <v>0</v>
      </c>
      <c r="J114" s="18">
        <f t="shared" si="5"/>
        <v>0</v>
      </c>
      <c r="K114" s="18">
        <f>K115</f>
        <v>0</v>
      </c>
      <c r="L114" s="18">
        <f>L115</f>
        <v>0</v>
      </c>
      <c r="M114" s="18">
        <f>M115</f>
        <v>0</v>
      </c>
      <c r="N114" s="18">
        <f>N115</f>
        <v>0</v>
      </c>
      <c r="O114" s="18">
        <f>O115</f>
        <v>0</v>
      </c>
      <c r="P114" s="14">
        <f t="shared" si="9"/>
        <v>1608200</v>
      </c>
    </row>
    <row r="115" spans="1:18" ht="51" x14ac:dyDescent="0.2">
      <c r="A115" s="32">
        <v>1115053</v>
      </c>
      <c r="B115" s="16" t="s">
        <v>269</v>
      </c>
      <c r="C115" s="16" t="s">
        <v>255</v>
      </c>
      <c r="D115" s="21" t="s">
        <v>270</v>
      </c>
      <c r="E115" s="18">
        <f t="shared" si="6"/>
        <v>1608200</v>
      </c>
      <c r="F115" s="18">
        <f>1540200+68000</f>
        <v>1608200</v>
      </c>
      <c r="G115" s="18"/>
      <c r="H115" s="18"/>
      <c r="I115" s="19"/>
      <c r="J115" s="18">
        <f t="shared" si="5"/>
        <v>0</v>
      </c>
      <c r="K115" s="18"/>
      <c r="L115" s="18"/>
      <c r="M115" s="18"/>
      <c r="N115" s="18"/>
      <c r="O115" s="18">
        <f>K115</f>
        <v>0</v>
      </c>
      <c r="P115" s="14">
        <f t="shared" si="9"/>
        <v>1608200</v>
      </c>
    </row>
    <row r="116" spans="1:18" ht="31.9" customHeight="1" x14ac:dyDescent="0.2">
      <c r="A116" s="32">
        <v>1115060</v>
      </c>
      <c r="B116" s="16" t="s">
        <v>63</v>
      </c>
      <c r="C116" s="16"/>
      <c r="D116" s="21" t="s">
        <v>77</v>
      </c>
      <c r="E116" s="18">
        <f t="shared" si="6"/>
        <v>2644780</v>
      </c>
      <c r="F116" s="18">
        <f>F117+F118</f>
        <v>2644780</v>
      </c>
      <c r="G116" s="18">
        <f t="shared" ref="G116:O116" si="10">G117+G118</f>
        <v>515300</v>
      </c>
      <c r="H116" s="18">
        <f t="shared" si="10"/>
        <v>23360</v>
      </c>
      <c r="I116" s="18">
        <f t="shared" si="10"/>
        <v>0</v>
      </c>
      <c r="J116" s="18">
        <f t="shared" si="5"/>
        <v>0</v>
      </c>
      <c r="K116" s="18">
        <f t="shared" si="10"/>
        <v>0</v>
      </c>
      <c r="L116" s="18">
        <f t="shared" si="10"/>
        <v>0</v>
      </c>
      <c r="M116" s="18">
        <f t="shared" si="10"/>
        <v>0</v>
      </c>
      <c r="N116" s="18">
        <f t="shared" si="10"/>
        <v>0</v>
      </c>
      <c r="O116" s="18">
        <f t="shared" si="10"/>
        <v>0</v>
      </c>
      <c r="P116" s="14">
        <f t="shared" si="9"/>
        <v>2644780</v>
      </c>
    </row>
    <row r="117" spans="1:18" ht="63.6" customHeight="1" x14ac:dyDescent="0.2">
      <c r="A117" s="32">
        <v>1115061</v>
      </c>
      <c r="B117" s="16" t="s">
        <v>271</v>
      </c>
      <c r="C117" s="16" t="s">
        <v>255</v>
      </c>
      <c r="D117" s="21" t="s">
        <v>272</v>
      </c>
      <c r="E117" s="18">
        <f>F117+I117</f>
        <v>890080</v>
      </c>
      <c r="F117" s="18">
        <v>890080</v>
      </c>
      <c r="G117" s="18">
        <v>515300</v>
      </c>
      <c r="H117" s="18">
        <v>23360</v>
      </c>
      <c r="I117" s="19"/>
      <c r="J117" s="18">
        <f t="shared" si="5"/>
        <v>0</v>
      </c>
      <c r="K117" s="18"/>
      <c r="L117" s="18"/>
      <c r="M117" s="18"/>
      <c r="N117" s="18"/>
      <c r="O117" s="18">
        <f>K117</f>
        <v>0</v>
      </c>
      <c r="P117" s="14">
        <f t="shared" si="9"/>
        <v>890080</v>
      </c>
    </row>
    <row r="118" spans="1:18" s="15" customFormat="1" ht="48.6" customHeight="1" x14ac:dyDescent="0.2">
      <c r="A118" s="32">
        <v>1115062</v>
      </c>
      <c r="B118" s="16" t="s">
        <v>273</v>
      </c>
      <c r="C118" s="16" t="s">
        <v>255</v>
      </c>
      <c r="D118" s="21" t="s">
        <v>274</v>
      </c>
      <c r="E118" s="18">
        <f>F118+I118</f>
        <v>1754700</v>
      </c>
      <c r="F118" s="18">
        <v>1754700</v>
      </c>
      <c r="G118" s="18"/>
      <c r="H118" s="18"/>
      <c r="I118" s="19"/>
      <c r="J118" s="18">
        <f t="shared" si="5"/>
        <v>0</v>
      </c>
      <c r="K118" s="18"/>
      <c r="L118" s="18"/>
      <c r="M118" s="18"/>
      <c r="N118" s="18"/>
      <c r="O118" s="18">
        <f>K118</f>
        <v>0</v>
      </c>
      <c r="P118" s="14">
        <f t="shared" si="9"/>
        <v>1754700</v>
      </c>
    </row>
    <row r="119" spans="1:18" s="58" customFormat="1" ht="55.9" customHeight="1" x14ac:dyDescent="0.2">
      <c r="A119" s="55">
        <v>1500000</v>
      </c>
      <c r="B119" s="55"/>
      <c r="C119" s="56"/>
      <c r="D119" s="57" t="s">
        <v>393</v>
      </c>
      <c r="E119" s="14">
        <f t="shared" ref="E119:E141" si="11">F119+I119</f>
        <v>0</v>
      </c>
      <c r="F119" s="14">
        <f t="shared" ref="F119:O119" si="12">F120</f>
        <v>0</v>
      </c>
      <c r="G119" s="14">
        <f t="shared" si="12"/>
        <v>0</v>
      </c>
      <c r="H119" s="14">
        <f t="shared" si="12"/>
        <v>0</v>
      </c>
      <c r="I119" s="14">
        <f t="shared" si="12"/>
        <v>0</v>
      </c>
      <c r="J119" s="14">
        <f t="shared" ref="J119:J142" si="13">L119+O119</f>
        <v>731310062</v>
      </c>
      <c r="K119" s="14">
        <f t="shared" si="12"/>
        <v>189906517</v>
      </c>
      <c r="L119" s="14">
        <f t="shared" si="12"/>
        <v>443297745</v>
      </c>
      <c r="M119" s="14">
        <f t="shared" si="12"/>
        <v>0</v>
      </c>
      <c r="N119" s="14">
        <f t="shared" si="12"/>
        <v>0</v>
      </c>
      <c r="O119" s="14">
        <f t="shared" si="12"/>
        <v>288012317</v>
      </c>
      <c r="P119" s="14">
        <f t="shared" ref="P119:P151" si="14">E119+J119</f>
        <v>731310062</v>
      </c>
    </row>
    <row r="120" spans="1:18" s="15" customFormat="1" ht="39.75" x14ac:dyDescent="0.2">
      <c r="A120" s="55">
        <v>1510000</v>
      </c>
      <c r="B120" s="55"/>
      <c r="C120" s="56"/>
      <c r="D120" s="57" t="s">
        <v>394</v>
      </c>
      <c r="E120" s="14">
        <f t="shared" si="11"/>
        <v>0</v>
      </c>
      <c r="F120" s="14">
        <f>F121+F122+F124</f>
        <v>0</v>
      </c>
      <c r="G120" s="14">
        <f>G121+G122+G124</f>
        <v>0</v>
      </c>
      <c r="H120" s="14">
        <f>H121+H122+H124</f>
        <v>0</v>
      </c>
      <c r="I120" s="14">
        <f>I121+I122+I124</f>
        <v>0</v>
      </c>
      <c r="J120" s="14">
        <f t="shared" si="13"/>
        <v>731310062</v>
      </c>
      <c r="K120" s="14">
        <f>K121+K122+K124</f>
        <v>189906517</v>
      </c>
      <c r="L120" s="14">
        <f>L121+L122+L124</f>
        <v>443297745</v>
      </c>
      <c r="M120" s="14">
        <f>M121+M122+M124</f>
        <v>0</v>
      </c>
      <c r="N120" s="14">
        <f>N121+N122+N124</f>
        <v>0</v>
      </c>
      <c r="O120" s="14">
        <f>O121+O122+O124</f>
        <v>288012317</v>
      </c>
      <c r="P120" s="14">
        <f t="shared" si="14"/>
        <v>731310062</v>
      </c>
    </row>
    <row r="121" spans="1:18" ht="25.5" x14ac:dyDescent="0.2">
      <c r="A121" s="59">
        <v>1516080</v>
      </c>
      <c r="B121" s="59">
        <v>6080</v>
      </c>
      <c r="C121" s="60"/>
      <c r="D121" s="49" t="s">
        <v>210</v>
      </c>
      <c r="E121" s="18">
        <f t="shared" si="11"/>
        <v>0</v>
      </c>
      <c r="F121" s="18"/>
      <c r="G121" s="18"/>
      <c r="H121" s="18"/>
      <c r="I121" s="18"/>
      <c r="J121" s="18">
        <f t="shared" si="13"/>
        <v>0</v>
      </c>
      <c r="K121" s="18"/>
      <c r="L121" s="18"/>
      <c r="M121" s="18"/>
      <c r="N121" s="18"/>
      <c r="O121" s="18">
        <f>K121</f>
        <v>0</v>
      </c>
      <c r="P121" s="14">
        <f t="shared" si="14"/>
        <v>0</v>
      </c>
    </row>
    <row r="122" spans="1:18" ht="15.6" customHeight="1" x14ac:dyDescent="0.2">
      <c r="A122" s="59">
        <v>1517360</v>
      </c>
      <c r="B122" s="59">
        <v>7360</v>
      </c>
      <c r="C122" s="60"/>
      <c r="D122" s="49" t="s">
        <v>206</v>
      </c>
      <c r="E122" s="18">
        <f t="shared" si="11"/>
        <v>0</v>
      </c>
      <c r="F122" s="18">
        <f>F123</f>
        <v>0</v>
      </c>
      <c r="G122" s="18">
        <f>G123</f>
        <v>0</v>
      </c>
      <c r="H122" s="18">
        <f>H123</f>
        <v>0</v>
      </c>
      <c r="I122" s="18">
        <f>I123</f>
        <v>0</v>
      </c>
      <c r="J122" s="18">
        <f t="shared" si="13"/>
        <v>189906517</v>
      </c>
      <c r="K122" s="18">
        <f>K123</f>
        <v>189906517</v>
      </c>
      <c r="L122" s="18">
        <f>L123</f>
        <v>0</v>
      </c>
      <c r="M122" s="18">
        <f>M123</f>
        <v>0</v>
      </c>
      <c r="N122" s="18">
        <f>N123</f>
        <v>0</v>
      </c>
      <c r="O122" s="18">
        <f>O123</f>
        <v>189906517</v>
      </c>
      <c r="P122" s="14">
        <f t="shared" si="14"/>
        <v>189906517</v>
      </c>
    </row>
    <row r="123" spans="1:18" ht="67.150000000000006" customHeight="1" x14ac:dyDescent="0.2">
      <c r="A123" s="59">
        <v>1517367</v>
      </c>
      <c r="B123" s="59">
        <v>7367</v>
      </c>
      <c r="C123" s="60" t="s">
        <v>202</v>
      </c>
      <c r="D123" s="49" t="s">
        <v>308</v>
      </c>
      <c r="E123" s="18">
        <f t="shared" si="11"/>
        <v>0</v>
      </c>
      <c r="F123" s="18"/>
      <c r="G123" s="18"/>
      <c r="H123" s="18"/>
      <c r="I123" s="18"/>
      <c r="J123" s="18">
        <f t="shared" si="13"/>
        <v>189906517</v>
      </c>
      <c r="K123" s="18">
        <f>42363400+147543117</f>
        <v>189906517</v>
      </c>
      <c r="L123" s="18"/>
      <c r="M123" s="18"/>
      <c r="N123" s="18"/>
      <c r="O123" s="18">
        <f>K123</f>
        <v>189906517</v>
      </c>
      <c r="P123" s="14">
        <f t="shared" si="14"/>
        <v>189906517</v>
      </c>
    </row>
    <row r="124" spans="1:18" s="58" customFormat="1" ht="51" x14ac:dyDescent="0.2">
      <c r="A124" s="59">
        <v>1517460</v>
      </c>
      <c r="B124" s="59">
        <v>7460</v>
      </c>
      <c r="C124" s="60"/>
      <c r="D124" s="49" t="s">
        <v>291</v>
      </c>
      <c r="E124" s="18">
        <f t="shared" si="11"/>
        <v>0</v>
      </c>
      <c r="F124" s="18">
        <f>F126+F125</f>
        <v>0</v>
      </c>
      <c r="G124" s="18">
        <f>G126+G125</f>
        <v>0</v>
      </c>
      <c r="H124" s="18">
        <f>H126+H125</f>
        <v>0</v>
      </c>
      <c r="I124" s="18">
        <f>I126+I125</f>
        <v>0</v>
      </c>
      <c r="J124" s="18">
        <f t="shared" si="13"/>
        <v>541403545</v>
      </c>
      <c r="K124" s="18">
        <f>K126+K125</f>
        <v>0</v>
      </c>
      <c r="L124" s="18">
        <f>L126+L125</f>
        <v>443297745</v>
      </c>
      <c r="M124" s="18">
        <f>M126+M125</f>
        <v>0</v>
      </c>
      <c r="N124" s="18">
        <f>N126+N125</f>
        <v>0</v>
      </c>
      <c r="O124" s="18">
        <f>O126+O125</f>
        <v>98105800</v>
      </c>
      <c r="P124" s="14">
        <f t="shared" si="14"/>
        <v>541403545</v>
      </c>
    </row>
    <row r="125" spans="1:18" s="62" customFormat="1" ht="53.45" customHeight="1" x14ac:dyDescent="0.3">
      <c r="A125" s="61">
        <v>1517461</v>
      </c>
      <c r="B125" s="61">
        <v>7461</v>
      </c>
      <c r="C125" s="61" t="s">
        <v>307</v>
      </c>
      <c r="D125" s="49" t="s">
        <v>321</v>
      </c>
      <c r="E125" s="18">
        <f t="shared" si="11"/>
        <v>0</v>
      </c>
      <c r="F125" s="18"/>
      <c r="G125" s="18"/>
      <c r="H125" s="18"/>
      <c r="I125" s="18"/>
      <c r="J125" s="18">
        <f t="shared" si="13"/>
        <v>197945</v>
      </c>
      <c r="K125" s="18"/>
      <c r="L125" s="18">
        <f>197945</f>
        <v>197945</v>
      </c>
      <c r="M125" s="18"/>
      <c r="N125" s="18"/>
      <c r="O125" s="18">
        <f>K125</f>
        <v>0</v>
      </c>
      <c r="P125" s="14">
        <f t="shared" si="14"/>
        <v>197945</v>
      </c>
      <c r="Q125" s="63"/>
      <c r="R125" s="64"/>
    </row>
    <row r="126" spans="1:18" s="58" customFormat="1" ht="73.150000000000006" customHeight="1" x14ac:dyDescent="0.2">
      <c r="A126" s="59">
        <v>1517462</v>
      </c>
      <c r="B126" s="59">
        <v>7462</v>
      </c>
      <c r="C126" s="60" t="s">
        <v>307</v>
      </c>
      <c r="D126" s="49" t="s">
        <v>322</v>
      </c>
      <c r="E126" s="18">
        <f t="shared" si="11"/>
        <v>0</v>
      </c>
      <c r="F126" s="18"/>
      <c r="G126" s="18"/>
      <c r="H126" s="18"/>
      <c r="I126" s="18"/>
      <c r="J126" s="18">
        <f t="shared" si="13"/>
        <v>541205600</v>
      </c>
      <c r="K126" s="18"/>
      <c r="L126" s="18">
        <f>381338900+61760900</f>
        <v>443099800</v>
      </c>
      <c r="M126" s="18"/>
      <c r="N126" s="18"/>
      <c r="O126" s="18">
        <f>K126+186975400-88869600</f>
        <v>98105800</v>
      </c>
      <c r="P126" s="14">
        <f t="shared" si="14"/>
        <v>541205600</v>
      </c>
    </row>
    <row r="127" spans="1:18" s="15" customFormat="1" ht="45" customHeight="1" x14ac:dyDescent="0.2">
      <c r="A127" s="12" t="s">
        <v>181</v>
      </c>
      <c r="B127" s="12"/>
      <c r="C127" s="12"/>
      <c r="D127" s="31" t="s">
        <v>395</v>
      </c>
      <c r="E127" s="14">
        <f t="shared" si="11"/>
        <v>583000</v>
      </c>
      <c r="F127" s="14">
        <f t="shared" ref="F127:O127" si="15">F128</f>
        <v>583000</v>
      </c>
      <c r="G127" s="14">
        <f t="shared" si="15"/>
        <v>0</v>
      </c>
      <c r="H127" s="14">
        <f t="shared" si="15"/>
        <v>0</v>
      </c>
      <c r="I127" s="14">
        <f t="shared" si="15"/>
        <v>0</v>
      </c>
      <c r="J127" s="18">
        <f t="shared" si="13"/>
        <v>0</v>
      </c>
      <c r="K127" s="14">
        <f t="shared" si="15"/>
        <v>0</v>
      </c>
      <c r="L127" s="14">
        <f t="shared" si="15"/>
        <v>0</v>
      </c>
      <c r="M127" s="14">
        <f t="shared" si="15"/>
        <v>0</v>
      </c>
      <c r="N127" s="14">
        <f t="shared" si="15"/>
        <v>0</v>
      </c>
      <c r="O127" s="14">
        <f t="shared" si="15"/>
        <v>0</v>
      </c>
      <c r="P127" s="14">
        <f t="shared" ref="P127:P141" si="16">E127+J127</f>
        <v>583000</v>
      </c>
    </row>
    <row r="128" spans="1:18" s="15" customFormat="1" ht="46.15" customHeight="1" x14ac:dyDescent="0.2">
      <c r="A128" s="12" t="s">
        <v>182</v>
      </c>
      <c r="B128" s="12"/>
      <c r="C128" s="12"/>
      <c r="D128" s="31" t="s">
        <v>396</v>
      </c>
      <c r="E128" s="14">
        <f t="shared" si="11"/>
        <v>583000</v>
      </c>
      <c r="F128" s="14">
        <f>SUM(F129)</f>
        <v>583000</v>
      </c>
      <c r="G128" s="14">
        <f>SUM(G129)</f>
        <v>0</v>
      </c>
      <c r="H128" s="14">
        <f>SUM(H129)</f>
        <v>0</v>
      </c>
      <c r="I128" s="14">
        <f>SUM(I129)</f>
        <v>0</v>
      </c>
      <c r="J128" s="18">
        <f t="shared" si="13"/>
        <v>0</v>
      </c>
      <c r="K128" s="14">
        <f>SUM(K129)</f>
        <v>0</v>
      </c>
      <c r="L128" s="14">
        <f>SUM(L129)</f>
        <v>0</v>
      </c>
      <c r="M128" s="14">
        <f>SUM(M129)</f>
        <v>0</v>
      </c>
      <c r="N128" s="14">
        <f>SUM(N129)</f>
        <v>0</v>
      </c>
      <c r="O128" s="14">
        <f>SUM(O129)</f>
        <v>0</v>
      </c>
      <c r="P128" s="14">
        <f t="shared" si="16"/>
        <v>583000</v>
      </c>
    </row>
    <row r="129" spans="1:18" ht="25.5" x14ac:dyDescent="0.2">
      <c r="A129" s="16" t="s">
        <v>183</v>
      </c>
      <c r="B129" s="16" t="s">
        <v>177</v>
      </c>
      <c r="C129" s="16" t="s">
        <v>184</v>
      </c>
      <c r="D129" s="17" t="s">
        <v>176</v>
      </c>
      <c r="E129" s="18">
        <f t="shared" si="11"/>
        <v>583000</v>
      </c>
      <c r="F129" s="65">
        <v>583000</v>
      </c>
      <c r="G129" s="18"/>
      <c r="H129" s="18"/>
      <c r="I129" s="19"/>
      <c r="J129" s="18">
        <f t="shared" si="13"/>
        <v>0</v>
      </c>
      <c r="K129" s="18"/>
      <c r="L129" s="18"/>
      <c r="M129" s="18"/>
      <c r="N129" s="18"/>
      <c r="O129" s="50">
        <f>K129</f>
        <v>0</v>
      </c>
      <c r="P129" s="14">
        <f t="shared" si="16"/>
        <v>583000</v>
      </c>
    </row>
    <row r="130" spans="1:18" s="15" customFormat="1" ht="38.450000000000003" customHeight="1" x14ac:dyDescent="0.2">
      <c r="A130" s="66">
        <v>2400000</v>
      </c>
      <c r="B130" s="66"/>
      <c r="C130" s="12"/>
      <c r="D130" s="57" t="s">
        <v>397</v>
      </c>
      <c r="E130" s="14">
        <f t="shared" si="11"/>
        <v>5000000</v>
      </c>
      <c r="F130" s="14">
        <f>F131</f>
        <v>5000000</v>
      </c>
      <c r="G130" s="14">
        <f>G131</f>
        <v>0</v>
      </c>
      <c r="H130" s="14">
        <f>H131</f>
        <v>0</v>
      </c>
      <c r="I130" s="14">
        <f>I131</f>
        <v>0</v>
      </c>
      <c r="J130" s="18">
        <f t="shared" si="13"/>
        <v>20420</v>
      </c>
      <c r="K130" s="14">
        <f>K131</f>
        <v>0</v>
      </c>
      <c r="L130" s="14">
        <f>L131</f>
        <v>20420</v>
      </c>
      <c r="M130" s="14">
        <f>M131</f>
        <v>0</v>
      </c>
      <c r="N130" s="14">
        <f>N131</f>
        <v>0</v>
      </c>
      <c r="O130" s="14">
        <f>O131</f>
        <v>0</v>
      </c>
      <c r="P130" s="14">
        <f t="shared" si="16"/>
        <v>5020420</v>
      </c>
      <c r="Q130" s="67">
        <v>10830000</v>
      </c>
      <c r="R130" s="68">
        <f>P130-Q130</f>
        <v>-5809580</v>
      </c>
    </row>
    <row r="131" spans="1:18" s="15" customFormat="1" ht="39.6" customHeight="1" x14ac:dyDescent="0.2">
      <c r="A131" s="66">
        <v>2410000</v>
      </c>
      <c r="B131" s="66"/>
      <c r="C131" s="12"/>
      <c r="D131" s="57" t="s">
        <v>398</v>
      </c>
      <c r="E131" s="14">
        <f t="shared" si="11"/>
        <v>5000000</v>
      </c>
      <c r="F131" s="14">
        <f>F132+F133</f>
        <v>5000000</v>
      </c>
      <c r="G131" s="14">
        <f>G132+G133</f>
        <v>0</v>
      </c>
      <c r="H131" s="14">
        <f>H132+H133</f>
        <v>0</v>
      </c>
      <c r="I131" s="14">
        <f>I132+I133</f>
        <v>0</v>
      </c>
      <c r="J131" s="18">
        <f t="shared" si="13"/>
        <v>20420</v>
      </c>
      <c r="K131" s="14">
        <f>K132+K133</f>
        <v>0</v>
      </c>
      <c r="L131" s="14">
        <f>L132+L133</f>
        <v>20420</v>
      </c>
      <c r="M131" s="14">
        <f>M132+M133</f>
        <v>0</v>
      </c>
      <c r="N131" s="14">
        <f>N132+N133</f>
        <v>0</v>
      </c>
      <c r="O131" s="14">
        <f>O132+O133</f>
        <v>0</v>
      </c>
      <c r="P131" s="14">
        <f t="shared" si="16"/>
        <v>5020420</v>
      </c>
      <c r="Q131" s="67"/>
      <c r="R131" s="68"/>
    </row>
    <row r="132" spans="1:18" ht="34.9" customHeight="1" x14ac:dyDescent="0.2">
      <c r="A132" s="61">
        <v>2417110</v>
      </c>
      <c r="B132" s="61">
        <v>7110</v>
      </c>
      <c r="C132" s="16" t="s">
        <v>323</v>
      </c>
      <c r="D132" s="49" t="s">
        <v>324</v>
      </c>
      <c r="E132" s="18">
        <f t="shared" si="11"/>
        <v>5000000</v>
      </c>
      <c r="F132" s="18">
        <v>5000000</v>
      </c>
      <c r="G132" s="18"/>
      <c r="H132" s="18"/>
      <c r="I132" s="14"/>
      <c r="J132" s="18">
        <f t="shared" si="13"/>
        <v>0</v>
      </c>
      <c r="K132" s="18"/>
      <c r="L132" s="18"/>
      <c r="M132" s="18"/>
      <c r="N132" s="18"/>
      <c r="O132" s="18"/>
      <c r="P132" s="14">
        <f t="shared" si="16"/>
        <v>5000000</v>
      </c>
      <c r="Q132" s="46"/>
      <c r="R132" s="47"/>
    </row>
    <row r="133" spans="1:18" ht="49.15" customHeight="1" x14ac:dyDescent="0.2">
      <c r="A133" s="61">
        <v>2418340</v>
      </c>
      <c r="B133" s="61">
        <v>8340</v>
      </c>
      <c r="C133" s="16" t="s">
        <v>16</v>
      </c>
      <c r="D133" s="49" t="s">
        <v>126</v>
      </c>
      <c r="E133" s="18">
        <f t="shared" si="11"/>
        <v>0</v>
      </c>
      <c r="F133" s="18"/>
      <c r="G133" s="18"/>
      <c r="H133" s="18"/>
      <c r="I133" s="14"/>
      <c r="J133" s="18">
        <f t="shared" si="13"/>
        <v>20420</v>
      </c>
      <c r="K133" s="18"/>
      <c r="L133" s="18">
        <f>20420</f>
        <v>20420</v>
      </c>
      <c r="M133" s="18"/>
      <c r="N133" s="18"/>
      <c r="O133" s="18"/>
      <c r="P133" s="14">
        <f t="shared" si="16"/>
        <v>20420</v>
      </c>
      <c r="Q133" s="46"/>
      <c r="R133" s="47"/>
    </row>
    <row r="134" spans="1:18" ht="38.25" x14ac:dyDescent="0.2">
      <c r="A134" s="66">
        <v>2700000</v>
      </c>
      <c r="B134" s="12"/>
      <c r="C134" s="12"/>
      <c r="D134" s="31" t="s">
        <v>399</v>
      </c>
      <c r="E134" s="14">
        <f t="shared" si="11"/>
        <v>980000</v>
      </c>
      <c r="F134" s="14">
        <f t="shared" ref="F134:K134" si="17">F135</f>
        <v>980000</v>
      </c>
      <c r="G134" s="14">
        <f t="shared" si="17"/>
        <v>0</v>
      </c>
      <c r="H134" s="14">
        <f t="shared" si="17"/>
        <v>0</v>
      </c>
      <c r="I134" s="14">
        <f t="shared" si="17"/>
        <v>0</v>
      </c>
      <c r="J134" s="18">
        <f t="shared" si="13"/>
        <v>1033078</v>
      </c>
      <c r="K134" s="14">
        <f t="shared" si="17"/>
        <v>400000</v>
      </c>
      <c r="L134" s="14">
        <f>L135</f>
        <v>633078</v>
      </c>
      <c r="M134" s="14">
        <f>M135</f>
        <v>0</v>
      </c>
      <c r="N134" s="14">
        <f>N135</f>
        <v>0</v>
      </c>
      <c r="O134" s="14">
        <f>O135</f>
        <v>400000</v>
      </c>
      <c r="P134" s="14">
        <f t="shared" si="16"/>
        <v>2013078</v>
      </c>
    </row>
    <row r="135" spans="1:18" ht="38.25" x14ac:dyDescent="0.2">
      <c r="A135" s="66">
        <v>2710000</v>
      </c>
      <c r="B135" s="12"/>
      <c r="C135" s="12"/>
      <c r="D135" s="31" t="s">
        <v>400</v>
      </c>
      <c r="E135" s="14">
        <f t="shared" si="11"/>
        <v>980000</v>
      </c>
      <c r="F135" s="14">
        <f>F139+F137+F140+F141+F136</f>
        <v>980000</v>
      </c>
      <c r="G135" s="14">
        <f>G139+G137+G140+G141+G136</f>
        <v>0</v>
      </c>
      <c r="H135" s="14">
        <f>H139+H137+H140+H141+H136</f>
        <v>0</v>
      </c>
      <c r="I135" s="14">
        <f>I139+I137+I140+I141+I136</f>
        <v>0</v>
      </c>
      <c r="J135" s="18">
        <f t="shared" si="13"/>
        <v>1033078</v>
      </c>
      <c r="K135" s="14">
        <f>K139+K137+K140+K141+K136</f>
        <v>400000</v>
      </c>
      <c r="L135" s="14">
        <f>L139+L137+L140+L141+L136</f>
        <v>633078</v>
      </c>
      <c r="M135" s="14">
        <f>M139+M137+M140+M141+M136</f>
        <v>0</v>
      </c>
      <c r="N135" s="14">
        <f>N139+N137+N140+N141+N136</f>
        <v>0</v>
      </c>
      <c r="O135" s="14">
        <f>O139+O137+O140+O141+O136</f>
        <v>400000</v>
      </c>
      <c r="P135" s="14">
        <f t="shared" si="16"/>
        <v>2013078</v>
      </c>
    </row>
    <row r="136" spans="1:18" ht="33" customHeight="1" x14ac:dyDescent="0.2">
      <c r="A136" s="61">
        <v>2717430</v>
      </c>
      <c r="B136" s="16" t="s">
        <v>357</v>
      </c>
      <c r="C136" s="16" t="s">
        <v>358</v>
      </c>
      <c r="D136" s="23" t="s">
        <v>359</v>
      </c>
      <c r="E136" s="18">
        <f t="shared" si="11"/>
        <v>150000</v>
      </c>
      <c r="F136" s="18">
        <f>150000</f>
        <v>150000</v>
      </c>
      <c r="G136" s="18"/>
      <c r="H136" s="18"/>
      <c r="I136" s="18"/>
      <c r="J136" s="18">
        <f t="shared" si="13"/>
        <v>400000</v>
      </c>
      <c r="K136" s="18">
        <f>400000</f>
        <v>400000</v>
      </c>
      <c r="L136" s="18"/>
      <c r="M136" s="18"/>
      <c r="N136" s="18"/>
      <c r="O136" s="18">
        <f>K136</f>
        <v>400000</v>
      </c>
      <c r="P136" s="14">
        <f t="shared" si="16"/>
        <v>550000</v>
      </c>
      <c r="Q136" s="46"/>
      <c r="R136" s="47"/>
    </row>
    <row r="137" spans="1:18" ht="25.5" x14ac:dyDescent="0.2">
      <c r="A137" s="61">
        <v>2717460</v>
      </c>
      <c r="B137" s="16" t="s">
        <v>325</v>
      </c>
      <c r="C137" s="16"/>
      <c r="D137" s="23" t="s">
        <v>326</v>
      </c>
      <c r="E137" s="18">
        <f t="shared" si="11"/>
        <v>0</v>
      </c>
      <c r="F137" s="18">
        <f>F138</f>
        <v>0</v>
      </c>
      <c r="G137" s="18">
        <f>G138</f>
        <v>0</v>
      </c>
      <c r="H137" s="18">
        <f>H138</f>
        <v>0</v>
      </c>
      <c r="I137" s="18">
        <f>I138</f>
        <v>0</v>
      </c>
      <c r="J137" s="18">
        <f t="shared" si="13"/>
        <v>633078</v>
      </c>
      <c r="K137" s="18">
        <f>K138</f>
        <v>0</v>
      </c>
      <c r="L137" s="18">
        <f>L138</f>
        <v>633078</v>
      </c>
      <c r="M137" s="18">
        <f>M138</f>
        <v>0</v>
      </c>
      <c r="N137" s="18">
        <f>N138</f>
        <v>0</v>
      </c>
      <c r="O137" s="18">
        <f>O138</f>
        <v>0</v>
      </c>
      <c r="P137" s="14">
        <f t="shared" si="16"/>
        <v>633078</v>
      </c>
      <c r="Q137" s="46"/>
      <c r="R137" s="47"/>
    </row>
    <row r="138" spans="1:18" ht="133.15" customHeight="1" x14ac:dyDescent="0.2">
      <c r="A138" s="61">
        <v>2717464</v>
      </c>
      <c r="B138" s="16" t="s">
        <v>327</v>
      </c>
      <c r="C138" s="16" t="s">
        <v>307</v>
      </c>
      <c r="D138" s="23" t="s">
        <v>378</v>
      </c>
      <c r="E138" s="18">
        <f t="shared" si="11"/>
        <v>0</v>
      </c>
      <c r="F138" s="18"/>
      <c r="G138" s="18"/>
      <c r="H138" s="18"/>
      <c r="I138" s="18"/>
      <c r="J138" s="18">
        <f t="shared" si="13"/>
        <v>633078</v>
      </c>
      <c r="K138" s="18"/>
      <c r="L138" s="18">
        <v>633078</v>
      </c>
      <c r="M138" s="18"/>
      <c r="N138" s="18"/>
      <c r="O138" s="18"/>
      <c r="P138" s="14">
        <f t="shared" si="16"/>
        <v>633078</v>
      </c>
      <c r="Q138" s="46"/>
      <c r="R138" s="47"/>
    </row>
    <row r="139" spans="1:18" ht="33" customHeight="1" x14ac:dyDescent="0.2">
      <c r="A139" s="61">
        <v>2717630</v>
      </c>
      <c r="B139" s="16" t="s">
        <v>304</v>
      </c>
      <c r="C139" s="16" t="s">
        <v>305</v>
      </c>
      <c r="D139" s="17" t="s">
        <v>306</v>
      </c>
      <c r="E139" s="18">
        <f t="shared" si="11"/>
        <v>130000</v>
      </c>
      <c r="F139" s="18">
        <v>130000</v>
      </c>
      <c r="G139" s="18"/>
      <c r="H139" s="18"/>
      <c r="I139" s="19"/>
      <c r="J139" s="18">
        <f>K139+N139</f>
        <v>0</v>
      </c>
      <c r="K139" s="18"/>
      <c r="L139" s="14"/>
      <c r="M139" s="18"/>
      <c r="N139" s="18"/>
      <c r="O139" s="18">
        <f>K139</f>
        <v>0</v>
      </c>
      <c r="P139" s="14">
        <f t="shared" si="16"/>
        <v>130000</v>
      </c>
    </row>
    <row r="140" spans="1:18" ht="18" customHeight="1" x14ac:dyDescent="0.2">
      <c r="A140" s="61">
        <v>2717640</v>
      </c>
      <c r="B140" s="16" t="s">
        <v>328</v>
      </c>
      <c r="C140" s="16" t="s">
        <v>305</v>
      </c>
      <c r="D140" s="17" t="s">
        <v>329</v>
      </c>
      <c r="E140" s="18">
        <f t="shared" si="11"/>
        <v>200000</v>
      </c>
      <c r="F140" s="18">
        <v>200000</v>
      </c>
      <c r="G140" s="18"/>
      <c r="H140" s="18"/>
      <c r="I140" s="19"/>
      <c r="J140" s="18">
        <f>K140+N140</f>
        <v>0</v>
      </c>
      <c r="K140" s="18"/>
      <c r="L140" s="14"/>
      <c r="M140" s="18"/>
      <c r="N140" s="18"/>
      <c r="O140" s="18"/>
      <c r="P140" s="14">
        <f t="shared" si="16"/>
        <v>200000</v>
      </c>
      <c r="Q140" s="46"/>
      <c r="R140" s="47"/>
    </row>
    <row r="141" spans="1:18" ht="28.15" customHeight="1" x14ac:dyDescent="0.2">
      <c r="A141" s="61">
        <v>2717693</v>
      </c>
      <c r="B141" s="16" t="s">
        <v>330</v>
      </c>
      <c r="C141" s="16" t="s">
        <v>202</v>
      </c>
      <c r="D141" s="17" t="s">
        <v>331</v>
      </c>
      <c r="E141" s="18">
        <f t="shared" si="11"/>
        <v>500000</v>
      </c>
      <c r="F141" s="18">
        <f>500000</f>
        <v>500000</v>
      </c>
      <c r="G141" s="18"/>
      <c r="H141" s="18"/>
      <c r="I141" s="19"/>
      <c r="J141" s="18">
        <f>K141+N141</f>
        <v>0</v>
      </c>
      <c r="K141" s="18"/>
      <c r="L141" s="14"/>
      <c r="M141" s="18"/>
      <c r="N141" s="18"/>
      <c r="O141" s="18"/>
      <c r="P141" s="14">
        <f t="shared" si="16"/>
        <v>500000</v>
      </c>
      <c r="Q141" s="46"/>
      <c r="R141" s="47"/>
    </row>
    <row r="142" spans="1:18" ht="38.25" x14ac:dyDescent="0.2">
      <c r="A142" s="29">
        <v>3700000</v>
      </c>
      <c r="B142" s="29"/>
      <c r="C142" s="29"/>
      <c r="D142" s="31" t="s">
        <v>401</v>
      </c>
      <c r="E142" s="14">
        <f t="shared" ref="E142:E153" si="18">F142+I142</f>
        <v>4368721062</v>
      </c>
      <c r="F142" s="14">
        <f>SUM(F143)</f>
        <v>4343042962</v>
      </c>
      <c r="G142" s="14">
        <f t="shared" ref="G142:O142" si="19">SUM(G143)</f>
        <v>0</v>
      </c>
      <c r="H142" s="14">
        <f t="shared" si="19"/>
        <v>0</v>
      </c>
      <c r="I142" s="14">
        <f t="shared" si="19"/>
        <v>25678100</v>
      </c>
      <c r="J142" s="14">
        <f t="shared" si="13"/>
        <v>140713034</v>
      </c>
      <c r="K142" s="14">
        <f t="shared" si="19"/>
        <v>104050310</v>
      </c>
      <c r="L142" s="14">
        <f t="shared" si="19"/>
        <v>12329500</v>
      </c>
      <c r="M142" s="14">
        <f t="shared" si="19"/>
        <v>0</v>
      </c>
      <c r="N142" s="14">
        <f t="shared" si="19"/>
        <v>0</v>
      </c>
      <c r="O142" s="14">
        <f t="shared" si="19"/>
        <v>128383534</v>
      </c>
      <c r="P142" s="14">
        <f t="shared" si="14"/>
        <v>4509434096</v>
      </c>
    </row>
    <row r="143" spans="1:18" ht="30.6" customHeight="1" x14ac:dyDescent="0.2">
      <c r="A143" s="29">
        <v>3710000</v>
      </c>
      <c r="B143" s="29"/>
      <c r="C143" s="29"/>
      <c r="D143" s="31" t="s">
        <v>402</v>
      </c>
      <c r="E143" s="14">
        <f t="shared" si="18"/>
        <v>4368721062</v>
      </c>
      <c r="F143" s="14">
        <f>F144+F182</f>
        <v>4343042962</v>
      </c>
      <c r="G143" s="14">
        <f>G144+G182</f>
        <v>0</v>
      </c>
      <c r="H143" s="14">
        <f>H144+H182</f>
        <v>0</v>
      </c>
      <c r="I143" s="14">
        <f>I144+I182</f>
        <v>25678100</v>
      </c>
      <c r="J143" s="14">
        <f t="shared" ref="J143:J183" si="20">L143+O143</f>
        <v>140713034</v>
      </c>
      <c r="K143" s="14">
        <f>K144+K182</f>
        <v>104050310</v>
      </c>
      <c r="L143" s="14">
        <f>L144+L182</f>
        <v>12329500</v>
      </c>
      <c r="M143" s="14">
        <f>M144+M182</f>
        <v>0</v>
      </c>
      <c r="N143" s="14">
        <f>N144+N182</f>
        <v>0</v>
      </c>
      <c r="O143" s="14">
        <f>O144+O182</f>
        <v>128383534</v>
      </c>
      <c r="P143" s="14">
        <f t="shared" si="14"/>
        <v>4509434096</v>
      </c>
    </row>
    <row r="144" spans="1:18" s="15" customFormat="1" ht="21" customHeight="1" x14ac:dyDescent="0.2">
      <c r="A144" s="29">
        <v>3719000</v>
      </c>
      <c r="B144" s="29">
        <v>9000</v>
      </c>
      <c r="C144" s="29"/>
      <c r="D144" s="31" t="s">
        <v>204</v>
      </c>
      <c r="E144" s="14">
        <f t="shared" si="18"/>
        <v>4367221062</v>
      </c>
      <c r="F144" s="14">
        <f>F145+F147+F153+F162+F168+F170+F173</f>
        <v>4341542962</v>
      </c>
      <c r="G144" s="14">
        <f>G145+G147+G153+G162+G168+G170+G173</f>
        <v>0</v>
      </c>
      <c r="H144" s="14">
        <f>H145+H147+H153+H162+H168+H170+H173</f>
        <v>0</v>
      </c>
      <c r="I144" s="14">
        <f>I145+I147+I153+I162+I168+I170+I173</f>
        <v>25678100</v>
      </c>
      <c r="J144" s="14">
        <f t="shared" si="20"/>
        <v>140713034</v>
      </c>
      <c r="K144" s="14">
        <f>K145+K147+K153+K162+K168+K170+K173</f>
        <v>104050310</v>
      </c>
      <c r="L144" s="14">
        <f>L145+L147+L153+L162+L168+L170+L173</f>
        <v>12329500</v>
      </c>
      <c r="M144" s="14">
        <f>M145+M147+M153+M162+M168+M170+M173</f>
        <v>0</v>
      </c>
      <c r="N144" s="14">
        <f>N145+N147+N153+N162+N168+N170+N173</f>
        <v>0</v>
      </c>
      <c r="O144" s="14">
        <f>O145+O147+O153+O162+O168+O170+O173</f>
        <v>128383534</v>
      </c>
      <c r="P144" s="14">
        <f t="shared" si="14"/>
        <v>4507934096</v>
      </c>
    </row>
    <row r="145" spans="1:17" s="15" customFormat="1" ht="28.15" customHeight="1" x14ac:dyDescent="0.2">
      <c r="A145" s="29">
        <v>3719100</v>
      </c>
      <c r="B145" s="29">
        <v>9100</v>
      </c>
      <c r="C145" s="29"/>
      <c r="D145" s="31" t="s">
        <v>203</v>
      </c>
      <c r="E145" s="14">
        <f t="shared" si="18"/>
        <v>358554200</v>
      </c>
      <c r="F145" s="14">
        <f>F146</f>
        <v>358554200</v>
      </c>
      <c r="G145" s="14">
        <f>G146</f>
        <v>0</v>
      </c>
      <c r="H145" s="14">
        <f>H146</f>
        <v>0</v>
      </c>
      <c r="I145" s="14">
        <f>I146</f>
        <v>0</v>
      </c>
      <c r="J145" s="14">
        <f t="shared" si="20"/>
        <v>0</v>
      </c>
      <c r="K145" s="14">
        <f>K146</f>
        <v>0</v>
      </c>
      <c r="L145" s="14">
        <f>L146</f>
        <v>0</v>
      </c>
      <c r="M145" s="14">
        <f>M146</f>
        <v>0</v>
      </c>
      <c r="N145" s="14">
        <f>N146</f>
        <v>0</v>
      </c>
      <c r="O145" s="14">
        <f>O146</f>
        <v>0</v>
      </c>
      <c r="P145" s="14">
        <f t="shared" si="14"/>
        <v>358554200</v>
      </c>
    </row>
    <row r="146" spans="1:17" ht="83.45" customHeight="1" x14ac:dyDescent="0.2">
      <c r="A146" s="16" t="s">
        <v>128</v>
      </c>
      <c r="B146" s="16" t="s">
        <v>108</v>
      </c>
      <c r="C146" s="16" t="s">
        <v>37</v>
      </c>
      <c r="D146" s="21" t="s">
        <v>309</v>
      </c>
      <c r="E146" s="18">
        <f t="shared" si="18"/>
        <v>358554200</v>
      </c>
      <c r="F146" s="18">
        <v>358554200</v>
      </c>
      <c r="G146" s="14"/>
      <c r="H146" s="14"/>
      <c r="I146" s="14"/>
      <c r="J146" s="18">
        <f t="shared" si="20"/>
        <v>0</v>
      </c>
      <c r="K146" s="18"/>
      <c r="L146" s="14"/>
      <c r="M146" s="14"/>
      <c r="N146" s="14"/>
      <c r="O146" s="18">
        <f>K146</f>
        <v>0</v>
      </c>
      <c r="P146" s="14">
        <f t="shared" si="14"/>
        <v>358554200</v>
      </c>
      <c r="Q146" s="4" t="e">
        <f>#REF!+#REF!+#REF!+#REF!+#REF!</f>
        <v>#REF!</v>
      </c>
    </row>
    <row r="147" spans="1:17" s="15" customFormat="1" ht="63" customHeight="1" x14ac:dyDescent="0.2">
      <c r="A147" s="12" t="s">
        <v>191</v>
      </c>
      <c r="B147" s="12" t="s">
        <v>192</v>
      </c>
      <c r="C147" s="12"/>
      <c r="D147" s="53" t="s">
        <v>190</v>
      </c>
      <c r="E147" s="14">
        <f t="shared" si="18"/>
        <v>3908329300</v>
      </c>
      <c r="F147" s="14">
        <f>F148+F149+F150+F152+F151</f>
        <v>3882732200</v>
      </c>
      <c r="G147" s="14">
        <f>G148+G149+G150+G152+G151</f>
        <v>0</v>
      </c>
      <c r="H147" s="14">
        <f>H148+H149+H150+H152+H151</f>
        <v>0</v>
      </c>
      <c r="I147" s="14">
        <f>I148+I149+I150+I152+I151</f>
        <v>25597100</v>
      </c>
      <c r="J147" s="18">
        <f t="shared" si="20"/>
        <v>0</v>
      </c>
      <c r="K147" s="14">
        <f>K148+K149+K150+K152+K151</f>
        <v>0</v>
      </c>
      <c r="L147" s="14">
        <f>L148+L149+L150+L152+L151</f>
        <v>0</v>
      </c>
      <c r="M147" s="14">
        <f>M148+M149+M150+M152+M151</f>
        <v>0</v>
      </c>
      <c r="N147" s="14">
        <f>N148+N149+N150+N152+N151</f>
        <v>0</v>
      </c>
      <c r="O147" s="14">
        <f>O148+O149+O150+O152+O151</f>
        <v>0</v>
      </c>
      <c r="P147" s="14">
        <f t="shared" si="14"/>
        <v>3908329300</v>
      </c>
    </row>
    <row r="148" spans="1:17" ht="268.89999999999998" customHeight="1" x14ac:dyDescent="0.2">
      <c r="A148" s="16" t="s">
        <v>130</v>
      </c>
      <c r="B148" s="16" t="s">
        <v>102</v>
      </c>
      <c r="C148" s="16" t="s">
        <v>37</v>
      </c>
      <c r="D148" s="23" t="s">
        <v>372</v>
      </c>
      <c r="E148" s="18">
        <f t="shared" si="18"/>
        <v>1562713200</v>
      </c>
      <c r="F148" s="18">
        <v>1562713200</v>
      </c>
      <c r="G148" s="18"/>
      <c r="H148" s="18"/>
      <c r="I148" s="19"/>
      <c r="J148" s="18">
        <f t="shared" si="20"/>
        <v>0</v>
      </c>
      <c r="K148" s="18"/>
      <c r="L148" s="18"/>
      <c r="M148" s="18"/>
      <c r="N148" s="18"/>
      <c r="O148" s="18">
        <f>K148</f>
        <v>0</v>
      </c>
      <c r="P148" s="14">
        <f t="shared" si="14"/>
        <v>1562713200</v>
      </c>
    </row>
    <row r="149" spans="1:17" ht="93" customHeight="1" x14ac:dyDescent="0.2">
      <c r="A149" s="16" t="s">
        <v>131</v>
      </c>
      <c r="B149" s="16" t="s">
        <v>104</v>
      </c>
      <c r="C149" s="16" t="s">
        <v>37</v>
      </c>
      <c r="D149" s="23" t="s">
        <v>103</v>
      </c>
      <c r="E149" s="18">
        <f t="shared" si="18"/>
        <v>112560900</v>
      </c>
      <c r="F149" s="18">
        <v>112560900</v>
      </c>
      <c r="G149" s="18"/>
      <c r="H149" s="18"/>
      <c r="I149" s="19"/>
      <c r="J149" s="18">
        <f t="shared" si="20"/>
        <v>0</v>
      </c>
      <c r="K149" s="18"/>
      <c r="L149" s="18"/>
      <c r="M149" s="18"/>
      <c r="N149" s="18"/>
      <c r="O149" s="18">
        <f>K149</f>
        <v>0</v>
      </c>
      <c r="P149" s="14">
        <f t="shared" si="14"/>
        <v>112560900</v>
      </c>
    </row>
    <row r="150" spans="1:17" ht="260.45" customHeight="1" x14ac:dyDescent="0.2">
      <c r="A150" s="16" t="s">
        <v>129</v>
      </c>
      <c r="B150" s="16" t="s">
        <v>105</v>
      </c>
      <c r="C150" s="16" t="s">
        <v>37</v>
      </c>
      <c r="D150" s="21" t="s">
        <v>188</v>
      </c>
      <c r="E150" s="18">
        <f t="shared" si="18"/>
        <v>2179375500</v>
      </c>
      <c r="F150" s="18">
        <v>2179375500</v>
      </c>
      <c r="G150" s="18"/>
      <c r="H150" s="18"/>
      <c r="I150" s="19"/>
      <c r="J150" s="18">
        <f t="shared" si="20"/>
        <v>0</v>
      </c>
      <c r="K150" s="18"/>
      <c r="L150" s="18"/>
      <c r="M150" s="18"/>
      <c r="N150" s="18"/>
      <c r="O150" s="18">
        <f>K150</f>
        <v>0</v>
      </c>
      <c r="P150" s="14">
        <f>E150+J150</f>
        <v>2179375500</v>
      </c>
    </row>
    <row r="151" spans="1:17" s="15" customFormat="1" ht="221.45" customHeight="1" x14ac:dyDescent="0.2">
      <c r="A151" s="16" t="s">
        <v>132</v>
      </c>
      <c r="B151" s="16" t="s">
        <v>106</v>
      </c>
      <c r="C151" s="16" t="s">
        <v>37</v>
      </c>
      <c r="D151" s="21" t="s">
        <v>373</v>
      </c>
      <c r="E151" s="18">
        <f t="shared" si="18"/>
        <v>28082600</v>
      </c>
      <c r="F151" s="18">
        <v>28082600</v>
      </c>
      <c r="G151" s="18"/>
      <c r="H151" s="18"/>
      <c r="I151" s="19"/>
      <c r="J151" s="18">
        <f t="shared" si="20"/>
        <v>0</v>
      </c>
      <c r="K151" s="18"/>
      <c r="L151" s="18"/>
      <c r="M151" s="18"/>
      <c r="N151" s="18"/>
      <c r="O151" s="18">
        <f>K151</f>
        <v>0</v>
      </c>
      <c r="P151" s="14">
        <f t="shared" si="14"/>
        <v>28082600</v>
      </c>
    </row>
    <row r="152" spans="1:17" ht="139.15" customHeight="1" x14ac:dyDescent="0.2">
      <c r="A152" s="32">
        <v>3719270</v>
      </c>
      <c r="B152" s="69" t="s">
        <v>107</v>
      </c>
      <c r="C152" s="69" t="s">
        <v>37</v>
      </c>
      <c r="D152" s="70" t="s">
        <v>374</v>
      </c>
      <c r="E152" s="18">
        <f t="shared" si="18"/>
        <v>25597100</v>
      </c>
      <c r="F152" s="71"/>
      <c r="G152" s="71"/>
      <c r="H152" s="71"/>
      <c r="I152" s="71">
        <v>25597100</v>
      </c>
      <c r="J152" s="18">
        <f t="shared" si="20"/>
        <v>0</v>
      </c>
      <c r="K152" s="71"/>
      <c r="L152" s="71"/>
      <c r="M152" s="72"/>
      <c r="N152" s="71"/>
      <c r="O152" s="18">
        <f>K152</f>
        <v>0</v>
      </c>
      <c r="P152" s="14">
        <f t="shared" ref="P152:P182" si="21">E152+J152</f>
        <v>25597100</v>
      </c>
    </row>
    <row r="153" spans="1:17" s="15" customFormat="1" ht="59.45" customHeight="1" x14ac:dyDescent="0.2">
      <c r="A153" s="29">
        <v>3719300</v>
      </c>
      <c r="B153" s="73" t="s">
        <v>215</v>
      </c>
      <c r="C153" s="73"/>
      <c r="D153" s="74" t="s">
        <v>214</v>
      </c>
      <c r="E153" s="14">
        <f t="shared" si="18"/>
        <v>37392701</v>
      </c>
      <c r="F153" s="72">
        <f>F154+F155+F156+F157+F158+F159+F160+F161</f>
        <v>37311701</v>
      </c>
      <c r="G153" s="72">
        <f>G160+G161+G154+G155+G156+G157+G158+G159</f>
        <v>0</v>
      </c>
      <c r="H153" s="72">
        <f>H160+H161+H154+H155+H156+H157+H158+H159</f>
        <v>0</v>
      </c>
      <c r="I153" s="72">
        <f>I160+I161+I154+I155+I156+I157+I158+I159</f>
        <v>81000</v>
      </c>
      <c r="J153" s="18">
        <f t="shared" si="20"/>
        <v>22629467</v>
      </c>
      <c r="K153" s="72">
        <f>K160+K161+K154+K155+K156+K157+K158+K159</f>
        <v>22629467</v>
      </c>
      <c r="L153" s="72">
        <f>L160+L161+L154+L155+L156+L157+L158+L159</f>
        <v>0</v>
      </c>
      <c r="M153" s="72">
        <f>M160+M161+M154+M155+M156+M157+M158+M159</f>
        <v>0</v>
      </c>
      <c r="N153" s="72">
        <f>N160+N161+N154+N155+N156+N157+N158+N159</f>
        <v>0</v>
      </c>
      <c r="O153" s="72">
        <f>O160+O161+O154+O155+O156+O157+O158+O159</f>
        <v>22629467</v>
      </c>
      <c r="P153" s="14">
        <f t="shared" si="21"/>
        <v>60022168</v>
      </c>
    </row>
    <row r="154" spans="1:17" ht="84.6" customHeight="1" x14ac:dyDescent="0.2">
      <c r="A154" s="32">
        <v>3719310</v>
      </c>
      <c r="B154" s="69" t="s">
        <v>280</v>
      </c>
      <c r="C154" s="69" t="s">
        <v>37</v>
      </c>
      <c r="D154" s="70" t="s">
        <v>281</v>
      </c>
      <c r="E154" s="18">
        <f t="shared" ref="E154:E183" si="22">F154+I154</f>
        <v>24095400</v>
      </c>
      <c r="F154" s="71">
        <v>24095400</v>
      </c>
      <c r="G154" s="71"/>
      <c r="H154" s="71"/>
      <c r="I154" s="71"/>
      <c r="J154" s="18">
        <f t="shared" si="20"/>
        <v>0</v>
      </c>
      <c r="K154" s="71"/>
      <c r="L154" s="71"/>
      <c r="M154" s="71"/>
      <c r="N154" s="71"/>
      <c r="O154" s="18"/>
      <c r="P154" s="14">
        <f t="shared" si="21"/>
        <v>24095400</v>
      </c>
    </row>
    <row r="155" spans="1:17" ht="75" customHeight="1" x14ac:dyDescent="0.2">
      <c r="A155" s="32">
        <v>3719320</v>
      </c>
      <c r="B155" s="69" t="s">
        <v>311</v>
      </c>
      <c r="C155" s="69" t="s">
        <v>37</v>
      </c>
      <c r="D155" s="70" t="s">
        <v>313</v>
      </c>
      <c r="E155" s="18">
        <f t="shared" si="22"/>
        <v>0</v>
      </c>
      <c r="F155" s="71"/>
      <c r="G155" s="71"/>
      <c r="H155" s="71"/>
      <c r="I155" s="71"/>
      <c r="J155" s="18">
        <f t="shared" si="20"/>
        <v>12810000</v>
      </c>
      <c r="K155" s="18">
        <v>12810000</v>
      </c>
      <c r="L155" s="71"/>
      <c r="M155" s="71"/>
      <c r="N155" s="71"/>
      <c r="O155" s="18">
        <f t="shared" ref="O155:O161" si="23">K155</f>
        <v>12810000</v>
      </c>
      <c r="P155" s="14">
        <f t="shared" si="21"/>
        <v>12810000</v>
      </c>
    </row>
    <row r="156" spans="1:17" ht="101.45" customHeight="1" x14ac:dyDescent="0.2">
      <c r="A156" s="32">
        <v>3719320</v>
      </c>
      <c r="B156" s="69" t="s">
        <v>311</v>
      </c>
      <c r="C156" s="69" t="s">
        <v>37</v>
      </c>
      <c r="D156" s="70" t="s">
        <v>312</v>
      </c>
      <c r="E156" s="18">
        <f t="shared" si="22"/>
        <v>160500</v>
      </c>
      <c r="F156" s="71">
        <v>160500</v>
      </c>
      <c r="G156" s="71"/>
      <c r="H156" s="71"/>
      <c r="I156" s="71"/>
      <c r="J156" s="18">
        <f t="shared" si="20"/>
        <v>0</v>
      </c>
      <c r="K156" s="75"/>
      <c r="L156" s="71"/>
      <c r="M156" s="71"/>
      <c r="N156" s="71"/>
      <c r="O156" s="18">
        <f t="shared" si="23"/>
        <v>0</v>
      </c>
      <c r="P156" s="14">
        <f t="shared" si="21"/>
        <v>160500</v>
      </c>
    </row>
    <row r="157" spans="1:17" ht="101.45" customHeight="1" x14ac:dyDescent="0.2">
      <c r="A157" s="32">
        <v>3719320</v>
      </c>
      <c r="B157" s="69" t="s">
        <v>311</v>
      </c>
      <c r="C157" s="69" t="s">
        <v>37</v>
      </c>
      <c r="D157" s="70" t="s">
        <v>314</v>
      </c>
      <c r="E157" s="18">
        <f t="shared" si="22"/>
        <v>0</v>
      </c>
      <c r="F157" s="71"/>
      <c r="G157" s="71"/>
      <c r="H157" s="71"/>
      <c r="I157" s="71"/>
      <c r="J157" s="18">
        <f t="shared" si="20"/>
        <v>8320300</v>
      </c>
      <c r="K157" s="75">
        <v>8320300</v>
      </c>
      <c r="L157" s="71"/>
      <c r="M157" s="71"/>
      <c r="N157" s="71"/>
      <c r="O157" s="18">
        <f t="shared" si="23"/>
        <v>8320300</v>
      </c>
      <c r="P157" s="14">
        <f t="shared" si="21"/>
        <v>8320300</v>
      </c>
    </row>
    <row r="158" spans="1:17" ht="101.45" customHeight="1" x14ac:dyDescent="0.2">
      <c r="A158" s="32">
        <v>3719320</v>
      </c>
      <c r="B158" s="69" t="s">
        <v>311</v>
      </c>
      <c r="C158" s="69" t="s">
        <v>37</v>
      </c>
      <c r="D158" s="70" t="s">
        <v>315</v>
      </c>
      <c r="E158" s="18">
        <f t="shared" si="22"/>
        <v>0</v>
      </c>
      <c r="F158" s="71"/>
      <c r="G158" s="71"/>
      <c r="H158" s="71"/>
      <c r="I158" s="71"/>
      <c r="J158" s="18">
        <f t="shared" si="20"/>
        <v>1295692</v>
      </c>
      <c r="K158" s="18">
        <v>1295692</v>
      </c>
      <c r="L158" s="71"/>
      <c r="M158" s="71"/>
      <c r="N158" s="71"/>
      <c r="O158" s="18">
        <f t="shared" si="23"/>
        <v>1295692</v>
      </c>
      <c r="P158" s="14">
        <f t="shared" si="21"/>
        <v>1295692</v>
      </c>
    </row>
    <row r="159" spans="1:17" ht="94.9" customHeight="1" x14ac:dyDescent="0.2">
      <c r="A159" s="32">
        <v>3719320</v>
      </c>
      <c r="B159" s="69" t="s">
        <v>311</v>
      </c>
      <c r="C159" s="69" t="s">
        <v>37</v>
      </c>
      <c r="D159" s="70" t="s">
        <v>316</v>
      </c>
      <c r="E159" s="18">
        <f t="shared" si="22"/>
        <v>0</v>
      </c>
      <c r="F159" s="71"/>
      <c r="G159" s="71"/>
      <c r="H159" s="71"/>
      <c r="I159" s="71"/>
      <c r="J159" s="18">
        <f t="shared" si="20"/>
        <v>203475</v>
      </c>
      <c r="K159" s="18">
        <v>203475</v>
      </c>
      <c r="L159" s="71"/>
      <c r="M159" s="71"/>
      <c r="N159" s="71"/>
      <c r="O159" s="18">
        <f t="shared" si="23"/>
        <v>203475</v>
      </c>
      <c r="P159" s="14">
        <f t="shared" si="21"/>
        <v>203475</v>
      </c>
    </row>
    <row r="160" spans="1:17" ht="96.6" customHeight="1" x14ac:dyDescent="0.2">
      <c r="A160" s="32">
        <v>3719330</v>
      </c>
      <c r="B160" s="69" t="s">
        <v>216</v>
      </c>
      <c r="C160" s="69" t="s">
        <v>37</v>
      </c>
      <c r="D160" s="70" t="s">
        <v>303</v>
      </c>
      <c r="E160" s="18">
        <f t="shared" si="22"/>
        <v>13055801</v>
      </c>
      <c r="F160" s="71">
        <v>13055801</v>
      </c>
      <c r="G160" s="71"/>
      <c r="H160" s="71"/>
      <c r="I160" s="71"/>
      <c r="J160" s="18">
        <f t="shared" si="20"/>
        <v>0</v>
      </c>
      <c r="K160" s="76"/>
      <c r="L160" s="71"/>
      <c r="M160" s="72"/>
      <c r="N160" s="71"/>
      <c r="O160" s="18">
        <f t="shared" si="23"/>
        <v>0</v>
      </c>
      <c r="P160" s="14">
        <f t="shared" si="21"/>
        <v>13055801</v>
      </c>
    </row>
    <row r="161" spans="1:18" ht="86.45" customHeight="1" x14ac:dyDescent="0.2">
      <c r="A161" s="32">
        <v>3719330</v>
      </c>
      <c r="B161" s="69" t="s">
        <v>216</v>
      </c>
      <c r="C161" s="69" t="s">
        <v>37</v>
      </c>
      <c r="D161" s="70" t="s">
        <v>302</v>
      </c>
      <c r="E161" s="18">
        <f t="shared" si="22"/>
        <v>81000</v>
      </c>
      <c r="F161" s="71"/>
      <c r="G161" s="71"/>
      <c r="H161" s="71"/>
      <c r="I161" s="71">
        <v>81000</v>
      </c>
      <c r="J161" s="18">
        <f t="shared" si="20"/>
        <v>0</v>
      </c>
      <c r="K161" s="71"/>
      <c r="L161" s="71"/>
      <c r="M161" s="72"/>
      <c r="N161" s="71"/>
      <c r="O161" s="18">
        <f t="shared" si="23"/>
        <v>0</v>
      </c>
      <c r="P161" s="14">
        <f t="shared" si="21"/>
        <v>81000</v>
      </c>
    </row>
    <row r="162" spans="1:18" s="15" customFormat="1" ht="76.150000000000006" customHeight="1" x14ac:dyDescent="0.2">
      <c r="A162" s="12" t="s">
        <v>194</v>
      </c>
      <c r="B162" s="73" t="s">
        <v>195</v>
      </c>
      <c r="C162" s="73"/>
      <c r="D162" s="74" t="s">
        <v>193</v>
      </c>
      <c r="E162" s="14">
        <f t="shared" si="22"/>
        <v>55543316</v>
      </c>
      <c r="F162" s="72">
        <f>F163+F167+F164+F165+F166</f>
        <v>55543316</v>
      </c>
      <c r="G162" s="72">
        <f>G163+G167+G164+G165+G166</f>
        <v>0</v>
      </c>
      <c r="H162" s="72">
        <f>H163+H167+H164+H165+H166</f>
        <v>0</v>
      </c>
      <c r="I162" s="72">
        <f>I163+I167+I164+I165+I166</f>
        <v>0</v>
      </c>
      <c r="J162" s="14">
        <f t="shared" si="20"/>
        <v>0</v>
      </c>
      <c r="K162" s="72">
        <f>K163+K167+K164+K165+K166</f>
        <v>0</v>
      </c>
      <c r="L162" s="72">
        <f>L163+L167+L164+L165+L166</f>
        <v>0</v>
      </c>
      <c r="M162" s="72">
        <f>M163+M167+M164+M165+M166</f>
        <v>0</v>
      </c>
      <c r="N162" s="72">
        <f>N163+N167+N164+N165+N166</f>
        <v>0</v>
      </c>
      <c r="O162" s="72">
        <f>O163+O167+O164+O165+O166</f>
        <v>0</v>
      </c>
      <c r="P162" s="14">
        <f t="shared" si="21"/>
        <v>55543316</v>
      </c>
    </row>
    <row r="163" spans="1:18" ht="85.9" customHeight="1" x14ac:dyDescent="0.2">
      <c r="A163" s="16" t="s">
        <v>172</v>
      </c>
      <c r="B163" s="16" t="s">
        <v>173</v>
      </c>
      <c r="C163" s="16" t="s">
        <v>37</v>
      </c>
      <c r="D163" s="21" t="s">
        <v>174</v>
      </c>
      <c r="E163" s="18">
        <f t="shared" si="22"/>
        <v>34582500</v>
      </c>
      <c r="F163" s="18">
        <v>34582500</v>
      </c>
      <c r="G163" s="18"/>
      <c r="H163" s="18"/>
      <c r="I163" s="19"/>
      <c r="J163" s="18">
        <f t="shared" si="20"/>
        <v>0</v>
      </c>
      <c r="K163" s="18"/>
      <c r="L163" s="18"/>
      <c r="M163" s="18"/>
      <c r="N163" s="18"/>
      <c r="O163" s="18">
        <f>K163</f>
        <v>0</v>
      </c>
      <c r="P163" s="14">
        <f t="shared" si="21"/>
        <v>34582500</v>
      </c>
    </row>
    <row r="164" spans="1:18" ht="85.9" customHeight="1" x14ac:dyDescent="0.2">
      <c r="A164" s="16" t="s">
        <v>172</v>
      </c>
      <c r="B164" s="16" t="s">
        <v>173</v>
      </c>
      <c r="C164" s="16" t="s">
        <v>37</v>
      </c>
      <c r="D164" s="21" t="s">
        <v>236</v>
      </c>
      <c r="E164" s="18">
        <f t="shared" si="22"/>
        <v>1336300</v>
      </c>
      <c r="F164" s="18">
        <v>1336300</v>
      </c>
      <c r="G164" s="18"/>
      <c r="H164" s="18"/>
      <c r="I164" s="19"/>
      <c r="J164" s="18">
        <f t="shared" si="20"/>
        <v>0</v>
      </c>
      <c r="K164" s="18"/>
      <c r="L164" s="18"/>
      <c r="M164" s="18"/>
      <c r="N164" s="18"/>
      <c r="O164" s="18">
        <f>K164</f>
        <v>0</v>
      </c>
      <c r="P164" s="14">
        <f t="shared" si="21"/>
        <v>1336300</v>
      </c>
    </row>
    <row r="165" spans="1:18" ht="85.9" customHeight="1" x14ac:dyDescent="0.2">
      <c r="A165" s="16" t="s">
        <v>172</v>
      </c>
      <c r="B165" s="16" t="s">
        <v>173</v>
      </c>
      <c r="C165" s="16" t="s">
        <v>37</v>
      </c>
      <c r="D165" s="21" t="s">
        <v>367</v>
      </c>
      <c r="E165" s="18">
        <f>F165+I165</f>
        <v>6379416</v>
      </c>
      <c r="F165" s="18">
        <f>6379416</f>
        <v>6379416</v>
      </c>
      <c r="G165" s="18"/>
      <c r="H165" s="18"/>
      <c r="I165" s="19"/>
      <c r="J165" s="18">
        <f t="shared" si="20"/>
        <v>0</v>
      </c>
      <c r="K165" s="18"/>
      <c r="L165" s="18"/>
      <c r="M165" s="18"/>
      <c r="N165" s="18"/>
      <c r="O165" s="18">
        <f>K165</f>
        <v>0</v>
      </c>
      <c r="P165" s="14">
        <f>E165+J165</f>
        <v>6379416</v>
      </c>
    </row>
    <row r="166" spans="1:18" ht="82.9" customHeight="1" x14ac:dyDescent="0.2">
      <c r="A166" s="16" t="s">
        <v>360</v>
      </c>
      <c r="B166" s="16" t="s">
        <v>361</v>
      </c>
      <c r="C166" s="16" t="s">
        <v>37</v>
      </c>
      <c r="D166" s="21" t="s">
        <v>362</v>
      </c>
      <c r="E166" s="18">
        <f>F166+I166</f>
        <v>5000000</v>
      </c>
      <c r="F166" s="18">
        <v>5000000</v>
      </c>
      <c r="G166" s="18"/>
      <c r="H166" s="18"/>
      <c r="I166" s="19"/>
      <c r="J166" s="18">
        <f t="shared" si="20"/>
        <v>0</v>
      </c>
      <c r="K166" s="18"/>
      <c r="L166" s="18"/>
      <c r="M166" s="18"/>
      <c r="N166" s="18"/>
      <c r="O166" s="18"/>
      <c r="P166" s="14">
        <f>E166+J166</f>
        <v>5000000</v>
      </c>
    </row>
    <row r="167" spans="1:18" ht="77.45" customHeight="1" x14ac:dyDescent="0.2">
      <c r="A167" s="16" t="s">
        <v>170</v>
      </c>
      <c r="B167" s="16" t="s">
        <v>171</v>
      </c>
      <c r="C167" s="16" t="s">
        <v>37</v>
      </c>
      <c r="D167" s="21" t="s">
        <v>169</v>
      </c>
      <c r="E167" s="18">
        <f t="shared" si="22"/>
        <v>8245100</v>
      </c>
      <c r="F167" s="18">
        <v>8245100</v>
      </c>
      <c r="G167" s="18"/>
      <c r="H167" s="18"/>
      <c r="I167" s="19"/>
      <c r="J167" s="18">
        <f t="shared" si="20"/>
        <v>0</v>
      </c>
      <c r="K167" s="18"/>
      <c r="L167" s="18"/>
      <c r="M167" s="18"/>
      <c r="N167" s="18"/>
      <c r="O167" s="18">
        <f>K167</f>
        <v>0</v>
      </c>
      <c r="P167" s="14">
        <f t="shared" si="21"/>
        <v>8245100</v>
      </c>
    </row>
    <row r="168" spans="1:18" s="15" customFormat="1" ht="94.15" customHeight="1" x14ac:dyDescent="0.2">
      <c r="A168" s="12" t="s">
        <v>335</v>
      </c>
      <c r="B168" s="12" t="s">
        <v>336</v>
      </c>
      <c r="C168" s="12"/>
      <c r="D168" s="53" t="s">
        <v>334</v>
      </c>
      <c r="E168" s="14">
        <f t="shared" si="22"/>
        <v>0</v>
      </c>
      <c r="F168" s="14">
        <f>F169</f>
        <v>0</v>
      </c>
      <c r="G168" s="14">
        <f>G169</f>
        <v>0</v>
      </c>
      <c r="H168" s="14">
        <f>H169</f>
        <v>0</v>
      </c>
      <c r="I168" s="14">
        <f>I169</f>
        <v>0</v>
      </c>
      <c r="J168" s="14">
        <f t="shared" si="20"/>
        <v>27109200</v>
      </c>
      <c r="K168" s="14">
        <f>K169</f>
        <v>0</v>
      </c>
      <c r="L168" s="14">
        <f>L169</f>
        <v>11552100</v>
      </c>
      <c r="M168" s="14">
        <f>M169</f>
        <v>0</v>
      </c>
      <c r="N168" s="14">
        <f>N169</f>
        <v>0</v>
      </c>
      <c r="O168" s="14">
        <f>O169</f>
        <v>15557100</v>
      </c>
      <c r="P168" s="14">
        <f t="shared" si="21"/>
        <v>27109200</v>
      </c>
    </row>
    <row r="169" spans="1:18" ht="136.15" customHeight="1" x14ac:dyDescent="0.2">
      <c r="A169" s="16" t="s">
        <v>332</v>
      </c>
      <c r="B169" s="16" t="s">
        <v>333</v>
      </c>
      <c r="C169" s="16" t="s">
        <v>37</v>
      </c>
      <c r="D169" s="21" t="s">
        <v>337</v>
      </c>
      <c r="E169" s="18">
        <f t="shared" si="22"/>
        <v>0</v>
      </c>
      <c r="F169" s="18"/>
      <c r="G169" s="18"/>
      <c r="H169" s="18"/>
      <c r="I169" s="19"/>
      <c r="J169" s="18">
        <f t="shared" si="20"/>
        <v>27109200</v>
      </c>
      <c r="K169" s="18"/>
      <c r="L169" s="18">
        <f>11552100</f>
        <v>11552100</v>
      </c>
      <c r="M169" s="18"/>
      <c r="N169" s="18"/>
      <c r="O169" s="18">
        <f>K169+15557100</f>
        <v>15557100</v>
      </c>
      <c r="P169" s="14">
        <f t="shared" si="21"/>
        <v>27109200</v>
      </c>
    </row>
    <row r="170" spans="1:18" s="15" customFormat="1" ht="64.150000000000006" customHeight="1" x14ac:dyDescent="0.2">
      <c r="A170" s="12" t="s">
        <v>197</v>
      </c>
      <c r="B170" s="12" t="s">
        <v>198</v>
      </c>
      <c r="C170" s="12"/>
      <c r="D170" s="53" t="s">
        <v>196</v>
      </c>
      <c r="E170" s="14">
        <f t="shared" si="22"/>
        <v>4420545</v>
      </c>
      <c r="F170" s="14">
        <f>F172+F171</f>
        <v>4420545</v>
      </c>
      <c r="G170" s="14">
        <f>G172+G171</f>
        <v>0</v>
      </c>
      <c r="H170" s="14">
        <f>H172+H171</f>
        <v>0</v>
      </c>
      <c r="I170" s="14">
        <f>I172+I171</f>
        <v>0</v>
      </c>
      <c r="J170" s="14">
        <f t="shared" si="20"/>
        <v>86331967</v>
      </c>
      <c r="K170" s="14">
        <f>K172+K171</f>
        <v>77555843</v>
      </c>
      <c r="L170" s="14">
        <f>L172+L171</f>
        <v>0</v>
      </c>
      <c r="M170" s="14">
        <f>M172+M171</f>
        <v>0</v>
      </c>
      <c r="N170" s="14">
        <f>N172+N171</f>
        <v>0</v>
      </c>
      <c r="O170" s="14">
        <f>O172+O171</f>
        <v>86331967</v>
      </c>
      <c r="P170" s="14">
        <f t="shared" si="21"/>
        <v>90752512</v>
      </c>
    </row>
    <row r="171" spans="1:18" s="15" customFormat="1" ht="72" customHeight="1" x14ac:dyDescent="0.2">
      <c r="A171" s="16" t="s">
        <v>338</v>
      </c>
      <c r="B171" s="16" t="s">
        <v>339</v>
      </c>
      <c r="C171" s="16" t="s">
        <v>37</v>
      </c>
      <c r="D171" s="21" t="s">
        <v>340</v>
      </c>
      <c r="E171" s="18">
        <f t="shared" si="22"/>
        <v>0</v>
      </c>
      <c r="F171" s="14"/>
      <c r="G171" s="14"/>
      <c r="H171" s="14"/>
      <c r="I171" s="14"/>
      <c r="J171" s="18">
        <f t="shared" si="20"/>
        <v>8776124</v>
      </c>
      <c r="K171" s="14"/>
      <c r="L171" s="14"/>
      <c r="M171" s="14"/>
      <c r="N171" s="18"/>
      <c r="O171" s="14">
        <f>K171+8776124</f>
        <v>8776124</v>
      </c>
      <c r="P171" s="14">
        <f t="shared" si="21"/>
        <v>8776124</v>
      </c>
      <c r="Q171" s="67"/>
      <c r="R171" s="68"/>
    </row>
    <row r="172" spans="1:18" ht="21" customHeight="1" x14ac:dyDescent="0.2">
      <c r="A172" s="16" t="s">
        <v>133</v>
      </c>
      <c r="B172" s="16" t="s">
        <v>113</v>
      </c>
      <c r="C172" s="16" t="s">
        <v>37</v>
      </c>
      <c r="D172" s="23" t="s">
        <v>112</v>
      </c>
      <c r="E172" s="18">
        <f t="shared" si="22"/>
        <v>4420545</v>
      </c>
      <c r="F172" s="35">
        <f>500000+1920545+2000000</f>
        <v>4420545</v>
      </c>
      <c r="G172" s="35"/>
      <c r="H172" s="14"/>
      <c r="I172" s="40"/>
      <c r="J172" s="18">
        <f t="shared" si="20"/>
        <v>77555843</v>
      </c>
      <c r="K172" s="18">
        <f>44016273+21875750+19183000-1000000-16800000+1000000+1000000+2000000+297146+1070742+492932+3000000+1420000</f>
        <v>77555843</v>
      </c>
      <c r="L172" s="35"/>
      <c r="M172" s="35"/>
      <c r="N172" s="14"/>
      <c r="O172" s="18">
        <f>K172</f>
        <v>77555843</v>
      </c>
      <c r="P172" s="14">
        <f t="shared" si="21"/>
        <v>81976388</v>
      </c>
    </row>
    <row r="173" spans="1:18" s="15" customFormat="1" ht="57" customHeight="1" x14ac:dyDescent="0.2">
      <c r="A173" s="12" t="s">
        <v>211</v>
      </c>
      <c r="B173" s="12" t="s">
        <v>212</v>
      </c>
      <c r="C173" s="12"/>
      <c r="D173" s="31" t="s">
        <v>219</v>
      </c>
      <c r="E173" s="14">
        <f t="shared" si="22"/>
        <v>2981000</v>
      </c>
      <c r="F173" s="77">
        <f>SUM(F174:F181)</f>
        <v>2981000</v>
      </c>
      <c r="G173" s="77">
        <f>SUM(G174:G181)</f>
        <v>0</v>
      </c>
      <c r="H173" s="77">
        <f>SUM(H174:H181)</f>
        <v>0</v>
      </c>
      <c r="I173" s="77">
        <f>SUM(I174:I181)</f>
        <v>0</v>
      </c>
      <c r="J173" s="14">
        <f t="shared" si="20"/>
        <v>4642400</v>
      </c>
      <c r="K173" s="77">
        <f>SUM(K174:K181)</f>
        <v>3865000</v>
      </c>
      <c r="L173" s="77">
        <f>SUM(L174:L181)</f>
        <v>777400</v>
      </c>
      <c r="M173" s="77">
        <f>SUM(M174:M181)</f>
        <v>0</v>
      </c>
      <c r="N173" s="77">
        <f>SUM(N174:N181)</f>
        <v>0</v>
      </c>
      <c r="O173" s="77">
        <f>SUM(O174:O181)</f>
        <v>3865000</v>
      </c>
      <c r="P173" s="14">
        <f t="shared" si="21"/>
        <v>7623400</v>
      </c>
    </row>
    <row r="174" spans="1:18" s="15" customFormat="1" ht="105" customHeight="1" x14ac:dyDescent="0.2">
      <c r="A174" s="16" t="s">
        <v>211</v>
      </c>
      <c r="B174" s="16" t="s">
        <v>212</v>
      </c>
      <c r="C174" s="16" t="s">
        <v>37</v>
      </c>
      <c r="D174" s="23" t="s">
        <v>341</v>
      </c>
      <c r="E174" s="18">
        <f t="shared" si="22"/>
        <v>0</v>
      </c>
      <c r="F174" s="77"/>
      <c r="G174" s="77"/>
      <c r="H174" s="14"/>
      <c r="I174" s="40"/>
      <c r="J174" s="18">
        <f t="shared" si="20"/>
        <v>1115000</v>
      </c>
      <c r="K174" s="35">
        <v>1115000</v>
      </c>
      <c r="L174" s="77"/>
      <c r="M174" s="14"/>
      <c r="N174" s="77"/>
      <c r="O174" s="77">
        <f>K174</f>
        <v>1115000</v>
      </c>
      <c r="P174" s="14">
        <f t="shared" si="21"/>
        <v>1115000</v>
      </c>
      <c r="Q174" s="67"/>
      <c r="R174" s="68"/>
    </row>
    <row r="175" spans="1:18" ht="167.45" customHeight="1" x14ac:dyDescent="0.2">
      <c r="A175" s="16" t="s">
        <v>211</v>
      </c>
      <c r="B175" s="16" t="s">
        <v>212</v>
      </c>
      <c r="C175" s="16" t="s">
        <v>37</v>
      </c>
      <c r="D175" s="23" t="s">
        <v>342</v>
      </c>
      <c r="E175" s="18">
        <f t="shared" si="22"/>
        <v>0</v>
      </c>
      <c r="F175" s="35"/>
      <c r="G175" s="35"/>
      <c r="H175" s="14"/>
      <c r="I175" s="40"/>
      <c r="J175" s="18">
        <f t="shared" si="20"/>
        <v>1250000</v>
      </c>
      <c r="K175" s="35">
        <f>1250000</f>
        <v>1250000</v>
      </c>
      <c r="L175" s="35"/>
      <c r="M175" s="14"/>
      <c r="N175" s="35"/>
      <c r="O175" s="77">
        <f t="shared" ref="O175:O180" si="24">K175</f>
        <v>1250000</v>
      </c>
      <c r="P175" s="14">
        <f t="shared" si="21"/>
        <v>1250000</v>
      </c>
      <c r="Q175" s="46"/>
      <c r="R175" s="47"/>
    </row>
    <row r="176" spans="1:18" ht="89.45" customHeight="1" x14ac:dyDescent="0.2">
      <c r="A176" s="16" t="s">
        <v>211</v>
      </c>
      <c r="B176" s="16" t="s">
        <v>212</v>
      </c>
      <c r="C176" s="16" t="s">
        <v>37</v>
      </c>
      <c r="D176" s="23" t="s">
        <v>345</v>
      </c>
      <c r="E176" s="18">
        <f t="shared" si="22"/>
        <v>80000</v>
      </c>
      <c r="F176" s="35">
        <v>80000</v>
      </c>
      <c r="G176" s="35"/>
      <c r="H176" s="14"/>
      <c r="I176" s="40"/>
      <c r="J176" s="18">
        <f t="shared" si="20"/>
        <v>0</v>
      </c>
      <c r="K176" s="35"/>
      <c r="L176" s="35"/>
      <c r="M176" s="14"/>
      <c r="N176" s="77"/>
      <c r="O176" s="77">
        <f t="shared" si="24"/>
        <v>0</v>
      </c>
      <c r="P176" s="14">
        <f t="shared" si="21"/>
        <v>80000</v>
      </c>
      <c r="Q176" s="46"/>
      <c r="R176" s="47"/>
    </row>
    <row r="177" spans="1:18" ht="95.45" customHeight="1" x14ac:dyDescent="0.2">
      <c r="A177" s="16" t="s">
        <v>211</v>
      </c>
      <c r="B177" s="16" t="s">
        <v>212</v>
      </c>
      <c r="C177" s="16" t="s">
        <v>37</v>
      </c>
      <c r="D177" s="23" t="s">
        <v>344</v>
      </c>
      <c r="E177" s="18">
        <f t="shared" si="22"/>
        <v>265000</v>
      </c>
      <c r="F177" s="35">
        <f>265000</f>
        <v>265000</v>
      </c>
      <c r="G177" s="35"/>
      <c r="H177" s="14"/>
      <c r="I177" s="40"/>
      <c r="J177" s="18">
        <f t="shared" si="20"/>
        <v>0</v>
      </c>
      <c r="K177" s="35"/>
      <c r="L177" s="35"/>
      <c r="M177" s="14"/>
      <c r="N177" s="35"/>
      <c r="O177" s="77">
        <f t="shared" si="24"/>
        <v>0</v>
      </c>
      <c r="P177" s="14">
        <f t="shared" si="21"/>
        <v>265000</v>
      </c>
      <c r="Q177" s="46"/>
      <c r="R177" s="47"/>
    </row>
    <row r="178" spans="1:18" ht="120" customHeight="1" x14ac:dyDescent="0.2">
      <c r="A178" s="16" t="s">
        <v>211</v>
      </c>
      <c r="B178" s="16" t="s">
        <v>212</v>
      </c>
      <c r="C178" s="16" t="s">
        <v>37</v>
      </c>
      <c r="D178" s="23" t="s">
        <v>343</v>
      </c>
      <c r="E178" s="18">
        <f t="shared" si="22"/>
        <v>356000</v>
      </c>
      <c r="F178" s="35">
        <f>356000</f>
        <v>356000</v>
      </c>
      <c r="G178" s="35"/>
      <c r="H178" s="14"/>
      <c r="I178" s="40"/>
      <c r="J178" s="18">
        <f t="shared" si="20"/>
        <v>0</v>
      </c>
      <c r="K178" s="35"/>
      <c r="L178" s="35"/>
      <c r="M178" s="14"/>
      <c r="N178" s="35"/>
      <c r="O178" s="77">
        <f>K178</f>
        <v>0</v>
      </c>
      <c r="P178" s="14">
        <f>E178+J178</f>
        <v>356000</v>
      </c>
      <c r="Q178" s="46"/>
      <c r="R178" s="47"/>
    </row>
    <row r="179" spans="1:18" ht="115.15" customHeight="1" x14ac:dyDescent="0.2">
      <c r="A179" s="16" t="s">
        <v>211</v>
      </c>
      <c r="B179" s="16" t="s">
        <v>212</v>
      </c>
      <c r="C179" s="16" t="s">
        <v>37</v>
      </c>
      <c r="D179" s="23" t="s">
        <v>346</v>
      </c>
      <c r="E179" s="18">
        <f t="shared" si="22"/>
        <v>1000000</v>
      </c>
      <c r="F179" s="35">
        <f>1000000</f>
        <v>1000000</v>
      </c>
      <c r="G179" s="35"/>
      <c r="H179" s="14"/>
      <c r="I179" s="40"/>
      <c r="J179" s="18">
        <f t="shared" si="20"/>
        <v>1500000</v>
      </c>
      <c r="K179" s="35">
        <f>1500000</f>
        <v>1500000</v>
      </c>
      <c r="L179" s="35"/>
      <c r="M179" s="14"/>
      <c r="N179" s="35"/>
      <c r="O179" s="77">
        <f>K179</f>
        <v>1500000</v>
      </c>
      <c r="P179" s="14">
        <f>E179+J179</f>
        <v>2500000</v>
      </c>
      <c r="Q179" s="46"/>
      <c r="R179" s="47"/>
    </row>
    <row r="180" spans="1:18" ht="84.6" customHeight="1" x14ac:dyDescent="0.2">
      <c r="A180" s="16" t="s">
        <v>211</v>
      </c>
      <c r="B180" s="16" t="s">
        <v>212</v>
      </c>
      <c r="C180" s="16" t="s">
        <v>37</v>
      </c>
      <c r="D180" s="23" t="s">
        <v>347</v>
      </c>
      <c r="E180" s="18">
        <f t="shared" si="22"/>
        <v>1280000</v>
      </c>
      <c r="F180" s="35">
        <f>1280000</f>
        <v>1280000</v>
      </c>
      <c r="G180" s="35"/>
      <c r="H180" s="14"/>
      <c r="I180" s="40"/>
      <c r="J180" s="18">
        <f t="shared" si="20"/>
        <v>0</v>
      </c>
      <c r="K180" s="35"/>
      <c r="L180" s="35"/>
      <c r="M180" s="14"/>
      <c r="N180" s="77"/>
      <c r="O180" s="77">
        <f t="shared" si="24"/>
        <v>0</v>
      </c>
      <c r="P180" s="14">
        <f t="shared" si="21"/>
        <v>1280000</v>
      </c>
      <c r="Q180" s="46"/>
      <c r="R180" s="47"/>
    </row>
    <row r="181" spans="1:18" s="15" customFormat="1" ht="99.6" customHeight="1" x14ac:dyDescent="0.2">
      <c r="A181" s="16" t="s">
        <v>211</v>
      </c>
      <c r="B181" s="16" t="s">
        <v>212</v>
      </c>
      <c r="C181" s="16" t="s">
        <v>37</v>
      </c>
      <c r="D181" s="23" t="s">
        <v>292</v>
      </c>
      <c r="E181" s="18">
        <f t="shared" si="22"/>
        <v>0</v>
      </c>
      <c r="F181" s="77"/>
      <c r="G181" s="77"/>
      <c r="H181" s="14"/>
      <c r="I181" s="40"/>
      <c r="J181" s="18">
        <f t="shared" si="20"/>
        <v>777400</v>
      </c>
      <c r="K181" s="18"/>
      <c r="L181" s="35">
        <f>26000+751400</f>
        <v>777400</v>
      </c>
      <c r="M181" s="77"/>
      <c r="N181" s="14"/>
      <c r="O181" s="18">
        <f>K181</f>
        <v>0</v>
      </c>
      <c r="P181" s="14">
        <f t="shared" si="21"/>
        <v>777400</v>
      </c>
    </row>
    <row r="182" spans="1:18" ht="19.899999999999999" customHeight="1" x14ac:dyDescent="0.2">
      <c r="A182" s="12" t="s">
        <v>134</v>
      </c>
      <c r="B182" s="12"/>
      <c r="C182" s="12"/>
      <c r="D182" s="31" t="s">
        <v>10</v>
      </c>
      <c r="E182" s="14">
        <f t="shared" si="22"/>
        <v>1500000</v>
      </c>
      <c r="F182" s="14">
        <f>F183</f>
        <v>1500000</v>
      </c>
      <c r="G182" s="14">
        <f>G183</f>
        <v>0</v>
      </c>
      <c r="H182" s="14">
        <f>H183</f>
        <v>0</v>
      </c>
      <c r="I182" s="14">
        <f>I183</f>
        <v>0</v>
      </c>
      <c r="J182" s="18">
        <f t="shared" si="20"/>
        <v>0</v>
      </c>
      <c r="K182" s="14">
        <f>K183</f>
        <v>0</v>
      </c>
      <c r="L182" s="14">
        <f>L183</f>
        <v>0</v>
      </c>
      <c r="M182" s="14">
        <f>M183</f>
        <v>0</v>
      </c>
      <c r="N182" s="14">
        <f>N183</f>
        <v>0</v>
      </c>
      <c r="O182" s="14">
        <f>O183</f>
        <v>0</v>
      </c>
      <c r="P182" s="14">
        <f t="shared" si="21"/>
        <v>1500000</v>
      </c>
    </row>
    <row r="183" spans="1:18" ht="27.6" customHeight="1" x14ac:dyDescent="0.2">
      <c r="A183" s="16" t="s">
        <v>135</v>
      </c>
      <c r="B183" s="16" t="s">
        <v>109</v>
      </c>
      <c r="C183" s="16" t="s">
        <v>36</v>
      </c>
      <c r="D183" s="21" t="s">
        <v>74</v>
      </c>
      <c r="E183" s="18">
        <f t="shared" si="22"/>
        <v>1500000</v>
      </c>
      <c r="F183" s="18">
        <v>1500000</v>
      </c>
      <c r="G183" s="18"/>
      <c r="H183" s="18"/>
      <c r="I183" s="19"/>
      <c r="J183" s="18">
        <f t="shared" si="20"/>
        <v>0</v>
      </c>
      <c r="K183" s="18"/>
      <c r="L183" s="18"/>
      <c r="M183" s="18"/>
      <c r="N183" s="18"/>
      <c r="O183" s="18">
        <v>0</v>
      </c>
      <c r="P183" s="72">
        <f>E183+J183</f>
        <v>1500000</v>
      </c>
    </row>
    <row r="184" spans="1:18" ht="25.15" customHeight="1" x14ac:dyDescent="0.2">
      <c r="A184" s="12"/>
      <c r="B184" s="12"/>
      <c r="C184" s="12"/>
      <c r="D184" s="31" t="s">
        <v>227</v>
      </c>
      <c r="E184" s="14">
        <f t="shared" ref="E184:P184" si="25">E14+E26+E42+E64+E78+E83+E94+E119+E127+E142+E134+E131</f>
        <v>6638044898</v>
      </c>
      <c r="F184" s="14">
        <f t="shared" si="25"/>
        <v>6612366798</v>
      </c>
      <c r="G184" s="14">
        <f t="shared" si="25"/>
        <v>483905303</v>
      </c>
      <c r="H184" s="14">
        <f t="shared" si="25"/>
        <v>75467379</v>
      </c>
      <c r="I184" s="14">
        <f t="shared" si="25"/>
        <v>25678100</v>
      </c>
      <c r="J184" s="14">
        <f t="shared" si="25"/>
        <v>1207271297</v>
      </c>
      <c r="K184" s="14">
        <f t="shared" si="25"/>
        <v>485546045</v>
      </c>
      <c r="L184" s="14">
        <f t="shared" si="25"/>
        <v>583754018</v>
      </c>
      <c r="M184" s="14">
        <f t="shared" si="25"/>
        <v>6944980</v>
      </c>
      <c r="N184" s="14">
        <f t="shared" si="25"/>
        <v>2578992</v>
      </c>
      <c r="O184" s="14">
        <f t="shared" si="25"/>
        <v>623517279</v>
      </c>
      <c r="P184" s="14">
        <f t="shared" si="25"/>
        <v>7845316195</v>
      </c>
    </row>
  </sheetData>
  <autoFilter ref="B14:B184"/>
  <mergeCells count="25">
    <mergeCell ref="C9:C12"/>
    <mergeCell ref="P9:P12"/>
    <mergeCell ref="I10:I12"/>
    <mergeCell ref="O10:O12"/>
    <mergeCell ref="M11:M12"/>
    <mergeCell ref="G11:G12"/>
    <mergeCell ref="L2:P2"/>
    <mergeCell ref="L5:P5"/>
    <mergeCell ref="K4:P4"/>
    <mergeCell ref="M10:N10"/>
    <mergeCell ref="L10:L12"/>
    <mergeCell ref="A7:P7"/>
    <mergeCell ref="A9:A12"/>
    <mergeCell ref="J9:O9"/>
    <mergeCell ref="D9:D11"/>
    <mergeCell ref="B9:B12"/>
    <mergeCell ref="L3:P3"/>
    <mergeCell ref="H11:H12"/>
    <mergeCell ref="E9:I9"/>
    <mergeCell ref="E10:E12"/>
    <mergeCell ref="N11:N12"/>
    <mergeCell ref="G10:H10"/>
    <mergeCell ref="J10:J12"/>
    <mergeCell ref="F10:F12"/>
    <mergeCell ref="K10:K12"/>
  </mergeCells>
  <phoneticPr fontId="0" type="noConversion"/>
  <printOptions horizontalCentered="1"/>
  <pageMargins left="0.19685039370078741" right="0.19685039370078741" top="0.59055118110236227" bottom="0.19685039370078741" header="0" footer="0.19685039370078741"/>
  <pageSetup paperSize="9" scale="62" fitToHeight="15" orientation="landscape" r:id="rId1"/>
  <headerFooter alignWithMargins="0"/>
  <rowBreaks count="1" manualBreakCount="1"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3'!Заголовки_для_друку</vt:lpstr>
      <vt:lpstr>'дод 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Ричина Наталія Михайлівна</dc:creator>
  <cp:lastModifiedBy>Войтович</cp:lastModifiedBy>
  <cp:lastPrinted>2019-02-21T16:49:22Z</cp:lastPrinted>
  <dcterms:created xsi:type="dcterms:W3CDTF">2010-12-22T14:43:06Z</dcterms:created>
  <dcterms:modified xsi:type="dcterms:W3CDTF">2019-02-25T07:33:22Z</dcterms:modified>
</cp:coreProperties>
</file>