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'113067'!$A$2:$AE$90</definedName>
  </definedNames>
  <calcPr fullCalcOnLoad="1"/>
</workbook>
</file>

<file path=xl/sharedStrings.xml><?xml version="1.0" encoding="utf-8"?>
<sst xmlns="http://schemas.openxmlformats.org/spreadsheetml/2006/main" count="201" uniqueCount="182">
  <si>
    <t>Код бюджету</t>
  </si>
  <si>
    <t>22501000000</t>
  </si>
  <si>
    <t>22502000000</t>
  </si>
  <si>
    <t>22503000000</t>
  </si>
  <si>
    <t>22504000000</t>
  </si>
  <si>
    <t>22505000000</t>
  </si>
  <si>
    <t>22506000000</t>
  </si>
  <si>
    <t>22507000000</t>
  </si>
  <si>
    <t>22508000000</t>
  </si>
  <si>
    <t>22509000000</t>
  </si>
  <si>
    <t>22510000000</t>
  </si>
  <si>
    <t>22511000000</t>
  </si>
  <si>
    <t>22512000000</t>
  </si>
  <si>
    <t>22513000000</t>
  </si>
  <si>
    <t>22514000000</t>
  </si>
  <si>
    <t>22515000000</t>
  </si>
  <si>
    <t>22516000000</t>
  </si>
  <si>
    <t>22517000000</t>
  </si>
  <si>
    <t>22518000000</t>
  </si>
  <si>
    <t>22519000000</t>
  </si>
  <si>
    <t>22520000000</t>
  </si>
  <si>
    <t>22521000000</t>
  </si>
  <si>
    <t>22522000000</t>
  </si>
  <si>
    <t>22523000000</t>
  </si>
  <si>
    <t>22525000000</t>
  </si>
  <si>
    <t>22526000000</t>
  </si>
  <si>
    <t>22527000000</t>
  </si>
  <si>
    <t>22528000000</t>
  </si>
  <si>
    <t>22529000000</t>
  </si>
  <si>
    <t>22530000000</t>
  </si>
  <si>
    <t>22531000000</t>
  </si>
  <si>
    <t>22532000000</t>
  </si>
  <si>
    <t>22533000000</t>
  </si>
  <si>
    <t>22534000000</t>
  </si>
  <si>
    <t>22535000000</t>
  </si>
  <si>
    <t>22536000000</t>
  </si>
  <si>
    <t>22537000000</t>
  </si>
  <si>
    <t>22538000000</t>
  </si>
  <si>
    <t>22539000000</t>
  </si>
  <si>
    <t>Трансферти іншим бюджетам</t>
  </si>
  <si>
    <t>субвенції</t>
  </si>
  <si>
    <t>дотація на:</t>
  </si>
  <si>
    <t>загального фонду на:</t>
  </si>
  <si>
    <t>УСЬОГО</t>
  </si>
  <si>
    <t xml:space="preserve"> здійснення переданих з державного бюджету видатків з утримання закладів освіти та охорони здоров'я за рахунок відповідної додаткової дотації з
державного бюджету</t>
  </si>
  <si>
    <t>здійснення переданих
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</si>
  <si>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здійснення переданих видатків у сфері охорони здоров’я за рахунок коштів медичної субвенції (цільові видатки на лікування хворих на цукровий та нецукровий діабет)</t>
  </si>
  <si>
    <t>Додаток 5</t>
  </si>
  <si>
    <t>пільгове медичне обслуговування осіб, які постраждали внаслідок Чорнобильської катастрофи за рахунок іншої субвенції з обласного бюджету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</si>
  <si>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 за рахунок іншої субвенції з обласного бюджету</t>
  </si>
  <si>
    <t>поховання учасників бойових дій та осіб з інвалідністю внаслідок війни за рахунок іншої субвенції з обласного бюджету</t>
  </si>
  <si>
    <t>надання державної підтримки особам з особливими освітніми потребами за рахунок відповідної субвенції з державного бюджету  (видатки споживання)</t>
  </si>
  <si>
    <t>надання державної підтримки особам з особливими освітніми потребами за рахунок відповідної субвенції з державного бюджету (видатки розвитку)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</si>
  <si>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</si>
  <si>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спеціального фонду на:</t>
  </si>
  <si>
    <t>Трансферти з інших місцевих бюджетів</t>
  </si>
  <si>
    <t xml:space="preserve">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 </t>
  </si>
  <si>
    <t>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</si>
  <si>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</si>
  <si>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</si>
  <si>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здійснення переданих
видатків у сфері освіти за рахунок коштів освітньої субвенції (на оплату праці з нарахуваннями педагогічних працівників загальноосвітніх навчальних закладів приватної форми власності)</t>
  </si>
  <si>
    <t>код бюджету</t>
  </si>
  <si>
    <t>код Типової програмної класифікації видатків та кредитування обласного бюджету</t>
  </si>
  <si>
    <t xml:space="preserve"> </t>
  </si>
  <si>
    <t>9130</t>
  </si>
  <si>
    <t>9310</t>
  </si>
  <si>
    <t>9330</t>
  </si>
  <si>
    <t>9410</t>
  </si>
  <si>
    <t>9770</t>
  </si>
  <si>
    <t>(грн)</t>
  </si>
  <si>
    <t>Міжбюджетні трансферти на 2020 рік</t>
  </si>
  <si>
    <t>22201100000</t>
  </si>
  <si>
    <t>Бюджет міста Хмельницького</t>
  </si>
  <si>
    <t>22202100000</t>
  </si>
  <si>
    <t>Бюджет міста Кам’янець-Подільського</t>
  </si>
  <si>
    <t>22205100000</t>
  </si>
  <si>
    <t>Бюджет міста Старокостянтинова</t>
  </si>
  <si>
    <t>22206100000</t>
  </si>
  <si>
    <t>Бюджет міста Шепетівки</t>
  </si>
  <si>
    <t>22301200000</t>
  </si>
  <si>
    <t>Районний бюджет Білогірського району</t>
  </si>
  <si>
    <t>22302200000</t>
  </si>
  <si>
    <t>Районний бюджет Віньковецького району</t>
  </si>
  <si>
    <t>22303200000</t>
  </si>
  <si>
    <t>Районний бюджет Волочиського району</t>
  </si>
  <si>
    <t>22304200000</t>
  </si>
  <si>
    <t>Районний бюджет Городоцького району</t>
  </si>
  <si>
    <t>22305200000</t>
  </si>
  <si>
    <t>Районний бюджет Деражнянського району</t>
  </si>
  <si>
    <t>Районний бюджет Дунаєвецького району</t>
  </si>
  <si>
    <t>22307200000</t>
  </si>
  <si>
    <t>Районний бюджет Ізяславського району</t>
  </si>
  <si>
    <t>22308200000</t>
  </si>
  <si>
    <t>Районний бюджет Кам’янець-Подільського району</t>
  </si>
  <si>
    <t>22309200000</t>
  </si>
  <si>
    <t>Районний бюджет Красилівського району</t>
  </si>
  <si>
    <t>22311200000</t>
  </si>
  <si>
    <t>Районний бюджет Новоушицького району</t>
  </si>
  <si>
    <t>22312200000</t>
  </si>
  <si>
    <t>Районний бюджет Полонського району</t>
  </si>
  <si>
    <t>22313200000</t>
  </si>
  <si>
    <t>Районний бюджет Славутського району</t>
  </si>
  <si>
    <t>22314200000</t>
  </si>
  <si>
    <t>Районний бюджет Старокостянтинівського району</t>
  </si>
  <si>
    <t>Районний бюджет Летичівського району</t>
  </si>
  <si>
    <t>22316200000</t>
  </si>
  <si>
    <t>Районний бюджет Теофіпольського району</t>
  </si>
  <si>
    <t>22317200000</t>
  </si>
  <si>
    <t>Районний бюджет Хмельницького району</t>
  </si>
  <si>
    <t>22318200000</t>
  </si>
  <si>
    <t>Районний бюджет Чемеровецького району</t>
  </si>
  <si>
    <t>22319200000</t>
  </si>
  <si>
    <t>Районний бюджет Шепетівського району</t>
  </si>
  <si>
    <t>22320200000</t>
  </si>
  <si>
    <t>Районний бюджет Ярмолинецького району</t>
  </si>
  <si>
    <t>Районний бюджет Старосинявського району</t>
  </si>
  <si>
    <t>Бюджет Берездівської сільської об’єднаної територіальної громади</t>
  </si>
  <si>
    <t>Бюджет Війтовецької селищної об’єднаної територіальної громади</t>
  </si>
  <si>
    <t>Бюджет Волочиської міської об’єднаної територіальної громади</t>
  </si>
  <si>
    <t>Бюджет Ганнопільської сільської об’єднаної територіальної громади</t>
  </si>
  <si>
    <t>Бюджет Гвардійської сільської об’єднаної територіальної громади</t>
  </si>
  <si>
    <t>Бюджет Гуменецької сільської об’єднаної територіальної громади</t>
  </si>
  <si>
    <t>Бюджет Дунаєвецької міської об’єднаної територіальної громади</t>
  </si>
  <si>
    <t>Бюджет Дунаєвецької селищної об’єднаної територіальної громади</t>
  </si>
  <si>
    <t>Бюджет Китайгородської сільської об’єднаної територіальної громади</t>
  </si>
  <si>
    <t>Бюджет Колибаївської сільської об’єднаної територіальної громади</t>
  </si>
  <si>
    <t>Бюджет Летичівської селищної об’єднаної територіальної громади</t>
  </si>
  <si>
    <t>Бюджет Лісовогринівецької сільської об’єднаної територіальної громади</t>
  </si>
  <si>
    <t>Бюджет Маківської сільської об’єднаної територіальної громади</t>
  </si>
  <si>
    <t>Бюджет Меджибізької селищної об’єднаної територіальної громади</t>
  </si>
  <si>
    <t>Бюджет Наркевицької селищної об’єднаної територіальної громади</t>
  </si>
  <si>
    <t>Бюджет Новоушицької селищної об’єднаної територіальної громади</t>
  </si>
  <si>
    <t>Бюджет Полонської міської об’єднаної територіальної громади</t>
  </si>
  <si>
    <t>Бюджет Понінківської селищної об’єднаної територіальної громади</t>
  </si>
  <si>
    <t>Бюджет Розсошанської сільської об’єднаної територіальної громади</t>
  </si>
  <si>
    <t>Бюджет Сатанівської селищної об’єднаної територіальної громади</t>
  </si>
  <si>
    <t>Бюджет Старосинявської селищної об’єднаної територіальної громади</t>
  </si>
  <si>
    <t>Бюджет Чорноострівської селищної об’єднаної територіальної громади</t>
  </si>
  <si>
    <t>Бюджет Чемеровецької селищної об’єднаної територіальної громади</t>
  </si>
  <si>
    <t>22524000000</t>
  </si>
  <si>
    <t>Бюджет Гуківської сільської об’єднаної територіальної громади</t>
  </si>
  <si>
    <t>Бюджет Ленковецької сільської об’єднаної територіальної громади</t>
  </si>
  <si>
    <t>Бюджет Судилківської сільської об’єднаної територіальної громади</t>
  </si>
  <si>
    <t>Бюджет Городоцької міської об’єднаної територіальної громади</t>
  </si>
  <si>
    <t>Бюджет Слобідсько-Кульчієвецької сільської об’єднаної територіальної громади</t>
  </si>
  <si>
    <t>Бюджет Антонінської селищної об’єднаної територіальної громади</t>
  </si>
  <si>
    <t>Бюджет Красилівської міської об’єднаної територіальної громади</t>
  </si>
  <si>
    <t>Бюджет Олешинської сільської об’єднаної територіальної громади</t>
  </si>
  <si>
    <t>Бюджет Солобковецької сільської об’єднаної територіальної громади</t>
  </si>
  <si>
    <t>Бюджет Грицівської селищної об’єднаної територіальної громади</t>
  </si>
  <si>
    <t>Бюджет Вовковинецької селищної об’єднаної територіальної громади</t>
  </si>
  <si>
    <t>Бюджет Смотрицької селищної об’єднаної територіальної громади</t>
  </si>
  <si>
    <t>Бюджет Жванецької сільської об’єднаної територіальної громади</t>
  </si>
  <si>
    <t>Бюджет Староушицької селищної об’єднаної територіальної громади</t>
  </si>
  <si>
    <t>Бюджет Крупецької сільської об’єднаної територіальної громади</t>
  </si>
  <si>
    <t>Бюджет Баламутівської сільської об’єднаної територіальної громади</t>
  </si>
  <si>
    <t>Бюджет Білогірської селищної об’єднаної територіальної громади</t>
  </si>
  <si>
    <t>Бюджет Шаровечківської сільської об’єднаної територіальної громади</t>
  </si>
  <si>
    <t>Бюджет Новоставецької сільської об’єднаної територіальної громади</t>
  </si>
  <si>
    <t>Бюджет Улашанівської сільської об’єднаної територіальної громади</t>
  </si>
  <si>
    <t>Бюджет Ямпільської селищної об’єднаної територіальної громади</t>
  </si>
  <si>
    <t>Бюджет Славутської міської об’єднаної територіальної громади</t>
  </si>
  <si>
    <t xml:space="preserve">Бюджет Нетішинської міської об’єднаної територіальної громади </t>
  </si>
  <si>
    <t>Бюджет Плужненської сільської об’єднаної територіальної громади</t>
  </si>
  <si>
    <t>Найменування бюджету - одержувача/ 
надавача міжбюджетного трансферту</t>
  </si>
  <si>
    <t>Обласний бюджет</t>
  </si>
  <si>
    <t>Державний бюджет</t>
  </si>
  <si>
    <t>здійснення переданих видатків у сфері охорони здоров’я за рахунок коштів медичної субвенції (цільові кошти на лікування хворих на хронічну ниркову недостатність методом гемодіалізу)</t>
  </si>
  <si>
    <t>до рішення обласної ради "Про внесення змін до обласного бюджету Хмельницької області на 2020 рік"</t>
  </si>
  <si>
    <t>від ___________ 2020 року №</t>
  </si>
  <si>
    <t>код Класифікації доходів бюджету</t>
  </si>
  <si>
    <t>будівництво, реконструкція, капітальний ремонт мереж водопостачання та водовідведення за рахунок іншої субвенції з обласного бюджету</t>
  </si>
  <si>
    <t xml:space="preserve"> проведення виборів депутатів місцевих рад та сільських, селищних, міських голів за рахунок відповідної субвенції з державного бюджету</t>
  </si>
  <si>
    <t>природоохоронні заходи</t>
  </si>
  <si>
    <t xml:space="preserve">виконання програм соціально-економічного розвитку регіонів </t>
  </si>
  <si>
    <t>ремонт обладнання та придбання обладнання для їдалень (харчоблоків) закладів загальної середньої освіти за рахунок залишку коштів освітньої субвенції, що утворився на початок бюджетного періоду</t>
  </si>
  <si>
    <t>здійснення підтримки окремих закладів та заходів у системі охорони здоров’я за рахунок відповідної субвенції з державного бюджету (на лікування хворих на цукровий діабет інсуліном та нецукровий діабет десмопресином)</t>
  </si>
  <si>
    <t>заходи з енергозбереження за рахунок іншої субвенції з обласного бюджету</t>
  </si>
  <si>
    <t>соціально-економічний розвиток за рахунок іншої субвенції з обласного бюджету</t>
  </si>
  <si>
    <t>інша субвенція загального фонду:</t>
  </si>
  <si>
    <t>інша субвенція спеціального фонду:</t>
  </si>
  <si>
    <t>інша субвенція спеціального фонду (природоохоронні заходи):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</si>
</sst>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"/>
    <numFmt numFmtId="203" formatCode="#,##0.000"/>
  </numFmts>
  <fonts count="59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 Cyr"/>
      <family val="0"/>
    </font>
    <font>
      <b/>
      <sz val="18"/>
      <name val="Times New Roman Cyr"/>
      <family val="1"/>
    </font>
    <font>
      <b/>
      <sz val="18"/>
      <name val="Arial"/>
      <family val="2"/>
    </font>
    <font>
      <b/>
      <u val="single"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20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202" fontId="5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02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202" fontId="7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2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202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9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 wrapText="1"/>
    </xf>
    <xf numFmtId="0" fontId="19" fillId="32" borderId="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33" applyFont="1" applyFill="1" applyBorder="1" applyAlignment="1">
      <alignment horizontal="left" vertical="center" wrapText="1" shrinkToFit="1"/>
      <protection/>
    </xf>
    <xf numFmtId="0" fontId="4" fillId="32" borderId="10" xfId="0" applyFont="1" applyFill="1" applyBorder="1" applyAlignment="1">
      <alignment horizontal="left" vertical="center" wrapText="1" shrinkToFi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202" fontId="23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vertical="center" wrapText="1"/>
      <protection/>
    </xf>
    <xf numFmtId="0" fontId="13" fillId="0" borderId="0" xfId="0" applyFont="1" applyFill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196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02" fontId="4" fillId="0" borderId="12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19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202" fontId="6" fillId="0" borderId="0" xfId="0" applyNumberFormat="1" applyFont="1" applyFill="1" applyAlignment="1">
      <alignment horizontal="center" vertical="center" wrapText="1"/>
    </xf>
    <xf numFmtId="202" fontId="0" fillId="0" borderId="0" xfId="0" applyNumberFormat="1" applyFont="1" applyFill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32" borderId="10" xfId="33" applyFont="1" applyFill="1" applyBorder="1" applyAlignment="1">
      <alignment horizontal="center" vertical="center" wrapText="1" shrinkToFit="1"/>
      <protection/>
    </xf>
    <xf numFmtId="3" fontId="14" fillId="32" borderId="10" xfId="33" applyNumberFormat="1" applyFont="1" applyFill="1" applyBorder="1" applyAlignment="1">
      <alignment horizontal="center" vertical="center" wrapText="1" shrinkToFit="1"/>
      <protection/>
    </xf>
    <xf numFmtId="0" fontId="14" fillId="32" borderId="10" xfId="0" applyFont="1" applyFill="1" applyBorder="1" applyAlignment="1">
      <alignment horizontal="center" vertical="center" wrapText="1" shrinkToFi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center" wrapText="1"/>
    </xf>
    <xf numFmtId="0" fontId="4" fillId="32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202" fontId="16" fillId="0" borderId="12" xfId="0" applyNumberFormat="1" applyFont="1" applyFill="1" applyBorder="1" applyAlignment="1">
      <alignment horizontal="center" vertical="center" wrapText="1"/>
    </xf>
    <xf numFmtId="202" fontId="16" fillId="0" borderId="13" xfId="0" applyNumberFormat="1" applyFont="1" applyFill="1" applyBorder="1" applyAlignment="1">
      <alignment horizontal="center" vertical="center" wrapText="1"/>
    </xf>
    <xf numFmtId="202" fontId="16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02" fontId="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02" fontId="7" fillId="0" borderId="15" xfId="0" applyNumberFormat="1" applyFont="1" applyFill="1" applyBorder="1" applyAlignment="1">
      <alignment horizontal="center" vertical="center" wrapText="1"/>
    </xf>
    <xf numFmtId="202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24" fillId="32" borderId="0" xfId="0" applyFont="1" applyFill="1" applyAlignment="1">
      <alignment horizontal="center" wrapText="1"/>
    </xf>
    <xf numFmtId="0" fontId="4" fillId="32" borderId="0" xfId="0" applyFont="1" applyFill="1" applyBorder="1" applyAlignment="1">
      <alignment horizontal="center" vertical="top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96" fontId="7" fillId="0" borderId="10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202" fontId="7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Q112"/>
  <sheetViews>
    <sheetView tabSelected="1" view="pageBreakPreview" zoomScale="66" zoomScaleNormal="75" zoomScaleSheetLayoutView="66" zoomScalePageLayoutView="0" workbookViewId="0" topLeftCell="A1">
      <pane xSplit="2" ySplit="16" topLeftCell="C8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02" sqref="H102"/>
    </sheetView>
  </sheetViews>
  <sheetFormatPr defaultColWidth="9.140625" defaultRowHeight="12.75"/>
  <cols>
    <col min="1" max="1" width="18.421875" style="72" customWidth="1"/>
    <col min="2" max="2" width="70.8515625" style="40" customWidth="1"/>
    <col min="3" max="3" width="14.8515625" style="40" customWidth="1"/>
    <col min="4" max="4" width="16.140625" style="40" customWidth="1"/>
    <col min="5" max="5" width="21.140625" style="1" customWidth="1"/>
    <col min="6" max="6" width="16.57421875" style="1" customWidth="1"/>
    <col min="7" max="7" width="33.00390625" style="1" customWidth="1"/>
    <col min="8" max="8" width="43.28125" style="1" customWidth="1"/>
    <col min="9" max="9" width="33.140625" style="1" customWidth="1"/>
    <col min="10" max="10" width="26.140625" style="1" customWidth="1"/>
    <col min="11" max="11" width="25.421875" style="1" customWidth="1"/>
    <col min="12" max="12" width="40.00390625" style="1" customWidth="1"/>
    <col min="13" max="13" width="55.7109375" style="1" hidden="1" customWidth="1"/>
    <col min="14" max="14" width="68.8515625" style="1" hidden="1" customWidth="1"/>
    <col min="15" max="15" width="50.7109375" style="1" hidden="1" customWidth="1"/>
    <col min="16" max="16" width="25.8515625" style="1" customWidth="1"/>
    <col min="17" max="17" width="27.7109375" style="1" customWidth="1"/>
    <col min="18" max="18" width="28.140625" style="1" customWidth="1"/>
    <col min="19" max="19" width="32.421875" style="1" customWidth="1"/>
    <col min="20" max="20" width="28.140625" style="1" customWidth="1"/>
    <col min="21" max="21" width="29.7109375" style="1" customWidth="1"/>
    <col min="22" max="22" width="32.140625" style="1" customWidth="1"/>
    <col min="23" max="24" width="23.57421875" style="1" customWidth="1"/>
    <col min="25" max="25" width="32.00390625" style="1" customWidth="1"/>
    <col min="26" max="26" width="32.8515625" style="1" customWidth="1"/>
    <col min="27" max="28" width="24.8515625" style="1" customWidth="1"/>
    <col min="29" max="29" width="20.57421875" style="1" customWidth="1"/>
    <col min="30" max="30" width="25.421875" style="1" customWidth="1"/>
    <col min="31" max="31" width="22.28125" style="1" customWidth="1"/>
    <col min="32" max="32" width="34.421875" style="1" customWidth="1"/>
    <col min="33" max="33" width="19.7109375" style="1" customWidth="1"/>
    <col min="34" max="34" width="16.421875" style="1" bestFit="1" customWidth="1"/>
    <col min="35" max="35" width="10.421875" style="1" bestFit="1" customWidth="1"/>
    <col min="36" max="36" width="13.28125" style="1" bestFit="1" customWidth="1"/>
    <col min="37" max="38" width="9.28125" style="1" bestFit="1" customWidth="1"/>
    <col min="39" max="39" width="10.421875" style="1" bestFit="1" customWidth="1"/>
    <col min="40" max="40" width="12.57421875" style="1" customWidth="1"/>
    <col min="41" max="41" width="11.57421875" style="1" bestFit="1" customWidth="1"/>
    <col min="42" max="42" width="14.421875" style="1" bestFit="1" customWidth="1"/>
    <col min="43" max="43" width="16.421875" style="1" bestFit="1" customWidth="1"/>
    <col min="44" max="44" width="11.57421875" style="1" bestFit="1" customWidth="1"/>
    <col min="45" max="16384" width="9.140625" style="1" customWidth="1"/>
  </cols>
  <sheetData>
    <row r="2" spans="1:32" s="9" customFormat="1" ht="22.5" customHeight="1">
      <c r="A2" s="66"/>
      <c r="B2" s="40"/>
      <c r="C2" s="40"/>
      <c r="D2" s="40"/>
      <c r="H2" s="10"/>
      <c r="I2" s="103" t="s">
        <v>47</v>
      </c>
      <c r="J2" s="103"/>
      <c r="K2" s="103"/>
      <c r="L2" s="56"/>
      <c r="M2" s="10"/>
      <c r="N2" s="10"/>
      <c r="O2" s="10"/>
      <c r="P2" s="10"/>
      <c r="Q2" s="106"/>
      <c r="R2" s="106"/>
      <c r="S2" s="106"/>
      <c r="T2" s="106"/>
      <c r="U2" s="106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s="9" customFormat="1" ht="49.5" customHeight="1">
      <c r="A3" s="66"/>
      <c r="B3" s="40"/>
      <c r="C3" s="40"/>
      <c r="D3" s="40"/>
      <c r="H3" s="10"/>
      <c r="I3" s="103" t="s">
        <v>168</v>
      </c>
      <c r="J3" s="103"/>
      <c r="K3" s="103"/>
      <c r="L3" s="56"/>
      <c r="M3" s="10"/>
      <c r="N3" s="10"/>
      <c r="O3" s="10"/>
      <c r="P3" s="19"/>
      <c r="Q3" s="106"/>
      <c r="R3" s="106"/>
      <c r="S3" s="106"/>
      <c r="T3" s="106"/>
      <c r="U3" s="106"/>
      <c r="V3" s="10"/>
      <c r="W3" s="10"/>
      <c r="X3" s="10"/>
      <c r="Y3" s="10"/>
      <c r="Z3" s="19"/>
      <c r="AA3" s="19"/>
      <c r="AB3" s="19"/>
      <c r="AC3" s="19"/>
      <c r="AD3" s="19"/>
      <c r="AE3" s="19"/>
      <c r="AF3" s="10"/>
    </row>
    <row r="4" spans="1:32" s="9" customFormat="1" ht="27.75" customHeight="1">
      <c r="A4" s="66"/>
      <c r="B4" s="40"/>
      <c r="C4" s="40"/>
      <c r="D4" s="40"/>
      <c r="H4" s="10"/>
      <c r="I4" s="103" t="s">
        <v>169</v>
      </c>
      <c r="J4" s="103"/>
      <c r="K4" s="103"/>
      <c r="L4" s="56"/>
      <c r="M4" s="10"/>
      <c r="N4" s="10"/>
      <c r="O4" s="10"/>
      <c r="P4" s="19"/>
      <c r="Q4" s="106"/>
      <c r="R4" s="106"/>
      <c r="S4" s="106"/>
      <c r="T4" s="106"/>
      <c r="U4" s="106"/>
      <c r="V4" s="10"/>
      <c r="W4" s="10"/>
      <c r="X4" s="10"/>
      <c r="Y4" s="10"/>
      <c r="Z4" s="19"/>
      <c r="AA4" s="19"/>
      <c r="AB4" s="19"/>
      <c r="AC4" s="19"/>
      <c r="AD4" s="19"/>
      <c r="AE4" s="19"/>
      <c r="AF4" s="10"/>
    </row>
    <row r="5" spans="1:31" s="9" customFormat="1" ht="26.25" customHeight="1">
      <c r="A5" s="115" t="s">
        <v>70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11"/>
      <c r="AA5" s="11"/>
      <c r="AB5" s="11"/>
      <c r="AC5" s="11"/>
      <c r="AD5" s="11"/>
      <c r="AE5" s="11"/>
    </row>
    <row r="6" spans="1:31" s="9" customFormat="1" ht="16.5" customHeight="1">
      <c r="A6" s="104">
        <v>22100000000</v>
      </c>
      <c r="B6" s="104"/>
      <c r="C6" s="83"/>
      <c r="D6" s="83"/>
      <c r="E6" s="28"/>
      <c r="F6" s="28"/>
      <c r="G6" s="28"/>
      <c r="H6" s="11"/>
      <c r="I6" s="28"/>
      <c r="J6" s="28"/>
      <c r="K6" s="28"/>
      <c r="L6" s="28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9" customFormat="1" ht="18.75" customHeight="1">
      <c r="A7" s="105" t="s">
        <v>61</v>
      </c>
      <c r="B7" s="105"/>
      <c r="C7" s="84"/>
      <c r="D7" s="84"/>
      <c r="E7" s="28"/>
      <c r="F7" s="28"/>
      <c r="G7" s="28"/>
      <c r="H7" s="11"/>
      <c r="I7" s="28"/>
      <c r="J7" s="28"/>
      <c r="K7" s="28"/>
      <c r="L7" s="2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9" customFormat="1" ht="16.5" customHeight="1">
      <c r="A8" s="34"/>
      <c r="B8" s="41"/>
      <c r="C8" s="41"/>
      <c r="D8" s="41"/>
      <c r="E8" s="18"/>
      <c r="F8" s="18"/>
      <c r="G8" s="18"/>
      <c r="I8" s="18"/>
      <c r="J8" s="18"/>
      <c r="K8" s="33" t="s">
        <v>69</v>
      </c>
      <c r="AE8" s="67"/>
    </row>
    <row r="9" spans="1:31" s="26" customFormat="1" ht="28.5" customHeight="1">
      <c r="A9" s="108" t="s">
        <v>0</v>
      </c>
      <c r="B9" s="108" t="s">
        <v>164</v>
      </c>
      <c r="C9" s="85" t="s">
        <v>55</v>
      </c>
      <c r="D9" s="85"/>
      <c r="E9" s="85"/>
      <c r="F9" s="85"/>
      <c r="G9" s="88" t="s">
        <v>39</v>
      </c>
      <c r="H9" s="86"/>
      <c r="I9" s="86"/>
      <c r="J9" s="86"/>
      <c r="K9" s="86"/>
      <c r="L9" s="88" t="s">
        <v>39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6" t="s">
        <v>39</v>
      </c>
      <c r="X9" s="86"/>
      <c r="Y9" s="86"/>
      <c r="Z9" s="86"/>
      <c r="AA9" s="86"/>
      <c r="AB9" s="86"/>
      <c r="AC9" s="86"/>
      <c r="AD9" s="86"/>
      <c r="AE9" s="87"/>
    </row>
    <row r="10" spans="1:31" s="26" customFormat="1" ht="19.5" customHeight="1">
      <c r="A10" s="109"/>
      <c r="B10" s="109"/>
      <c r="C10" s="85" t="s">
        <v>40</v>
      </c>
      <c r="D10" s="85"/>
      <c r="E10" s="85"/>
      <c r="F10" s="85" t="s">
        <v>43</v>
      </c>
      <c r="G10" s="85" t="s">
        <v>41</v>
      </c>
      <c r="H10" s="88" t="s">
        <v>40</v>
      </c>
      <c r="I10" s="86"/>
      <c r="J10" s="86"/>
      <c r="K10" s="86"/>
      <c r="L10" s="88" t="s">
        <v>40</v>
      </c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 t="s">
        <v>40</v>
      </c>
      <c r="X10" s="86"/>
      <c r="Y10" s="86"/>
      <c r="Z10" s="86"/>
      <c r="AA10" s="86"/>
      <c r="AB10" s="86"/>
      <c r="AC10" s="86"/>
      <c r="AD10" s="87"/>
      <c r="AE10" s="85" t="s">
        <v>43</v>
      </c>
    </row>
    <row r="11" spans="1:31" s="27" customFormat="1" ht="32.25" customHeight="1">
      <c r="A11" s="109"/>
      <c r="B11" s="109"/>
      <c r="C11" s="98" t="s">
        <v>179</v>
      </c>
      <c r="D11" s="111" t="s">
        <v>180</v>
      </c>
      <c r="E11" s="111" t="s">
        <v>181</v>
      </c>
      <c r="F11" s="85"/>
      <c r="G11" s="85"/>
      <c r="H11" s="89" t="s">
        <v>42</v>
      </c>
      <c r="I11" s="90"/>
      <c r="J11" s="90"/>
      <c r="K11" s="90"/>
      <c r="L11" s="89" t="s">
        <v>42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 t="s">
        <v>42</v>
      </c>
      <c r="X11" s="91"/>
      <c r="Y11" s="85" t="s">
        <v>54</v>
      </c>
      <c r="Z11" s="85"/>
      <c r="AA11" s="85"/>
      <c r="AB11" s="85"/>
      <c r="AC11" s="85"/>
      <c r="AD11" s="85"/>
      <c r="AE11" s="85"/>
    </row>
    <row r="12" spans="1:31" s="27" customFormat="1" ht="35.25" customHeight="1">
      <c r="A12" s="109"/>
      <c r="B12" s="109"/>
      <c r="C12" s="99"/>
      <c r="D12" s="112"/>
      <c r="E12" s="112"/>
      <c r="F12" s="85"/>
      <c r="G12" s="97" t="s">
        <v>44</v>
      </c>
      <c r="H12" s="101" t="s">
        <v>53</v>
      </c>
      <c r="I12" s="97" t="s">
        <v>45</v>
      </c>
      <c r="J12" s="97" t="s">
        <v>51</v>
      </c>
      <c r="K12" s="116" t="s">
        <v>52</v>
      </c>
      <c r="L12" s="95" t="s">
        <v>60</v>
      </c>
      <c r="M12" s="96" t="s">
        <v>56</v>
      </c>
      <c r="N12" s="96" t="s">
        <v>57</v>
      </c>
      <c r="O12" s="107" t="s">
        <v>58</v>
      </c>
      <c r="P12" s="95" t="s">
        <v>59</v>
      </c>
      <c r="Q12" s="95" t="s">
        <v>46</v>
      </c>
      <c r="R12" s="95" t="s">
        <v>167</v>
      </c>
      <c r="S12" s="95" t="s">
        <v>176</v>
      </c>
      <c r="T12" s="95" t="s">
        <v>172</v>
      </c>
      <c r="U12" s="95" t="s">
        <v>48</v>
      </c>
      <c r="V12" s="95" t="s">
        <v>49</v>
      </c>
      <c r="W12" s="95" t="s">
        <v>50</v>
      </c>
      <c r="X12" s="95" t="s">
        <v>174</v>
      </c>
      <c r="Y12" s="95" t="s">
        <v>175</v>
      </c>
      <c r="Z12" s="95" t="s">
        <v>171</v>
      </c>
      <c r="AA12" s="95" t="s">
        <v>178</v>
      </c>
      <c r="AB12" s="95" t="s">
        <v>177</v>
      </c>
      <c r="AC12" s="95" t="s">
        <v>173</v>
      </c>
      <c r="AD12" s="95" t="s">
        <v>174</v>
      </c>
      <c r="AE12" s="85"/>
    </row>
    <row r="13" spans="1:31" s="27" customFormat="1" ht="117" customHeight="1">
      <c r="A13" s="109"/>
      <c r="B13" s="109"/>
      <c r="C13" s="100"/>
      <c r="D13" s="113"/>
      <c r="E13" s="113"/>
      <c r="F13" s="85"/>
      <c r="G13" s="97"/>
      <c r="H13" s="102"/>
      <c r="I13" s="97"/>
      <c r="J13" s="97"/>
      <c r="K13" s="116"/>
      <c r="L13" s="95"/>
      <c r="M13" s="96"/>
      <c r="N13" s="96"/>
      <c r="O13" s="107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85"/>
    </row>
    <row r="14" spans="1:31" s="27" customFormat="1" ht="32.25" customHeight="1">
      <c r="A14" s="109"/>
      <c r="B14" s="109"/>
      <c r="C14" s="92" t="s">
        <v>170</v>
      </c>
      <c r="D14" s="93"/>
      <c r="E14" s="94"/>
      <c r="F14" s="85"/>
      <c r="G14" s="92" t="s">
        <v>62</v>
      </c>
      <c r="H14" s="93"/>
      <c r="I14" s="93"/>
      <c r="J14" s="93"/>
      <c r="K14" s="93"/>
      <c r="L14" s="97" t="s">
        <v>62</v>
      </c>
      <c r="M14" s="97"/>
      <c r="N14" s="97"/>
      <c r="O14" s="97"/>
      <c r="P14" s="97"/>
      <c r="Q14" s="97"/>
      <c r="R14" s="97" t="s">
        <v>62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85"/>
    </row>
    <row r="15" spans="1:31" s="2" customFormat="1" ht="21" customHeight="1">
      <c r="A15" s="110"/>
      <c r="B15" s="110"/>
      <c r="C15" s="35">
        <v>41053900</v>
      </c>
      <c r="D15" s="35">
        <v>41053900</v>
      </c>
      <c r="E15" s="35">
        <v>41053900</v>
      </c>
      <c r="F15" s="85"/>
      <c r="G15" s="2" t="s">
        <v>64</v>
      </c>
      <c r="H15" s="64">
        <v>9270</v>
      </c>
      <c r="I15" s="2" t="s">
        <v>65</v>
      </c>
      <c r="J15" s="2" t="s">
        <v>66</v>
      </c>
      <c r="K15" s="65" t="s">
        <v>66</v>
      </c>
      <c r="L15" s="30" t="s">
        <v>65</v>
      </c>
      <c r="M15" s="31"/>
      <c r="N15" s="31"/>
      <c r="O15" s="32"/>
      <c r="P15" s="64">
        <v>9260</v>
      </c>
      <c r="Q15" s="30" t="s">
        <v>67</v>
      </c>
      <c r="R15" s="30" t="s">
        <v>67</v>
      </c>
      <c r="S15" s="64">
        <v>9430</v>
      </c>
      <c r="T15" s="64">
        <v>9620</v>
      </c>
      <c r="U15" s="64" t="s">
        <v>68</v>
      </c>
      <c r="V15" s="64" t="s">
        <v>68</v>
      </c>
      <c r="W15" s="64" t="s">
        <v>68</v>
      </c>
      <c r="X15" s="64">
        <v>9800</v>
      </c>
      <c r="Y15" s="64">
        <v>9320</v>
      </c>
      <c r="Z15" s="64" t="s">
        <v>68</v>
      </c>
      <c r="AA15" s="64">
        <v>9770</v>
      </c>
      <c r="AB15" s="64">
        <v>9770</v>
      </c>
      <c r="AC15" s="64">
        <v>9740</v>
      </c>
      <c r="AD15" s="64">
        <v>9800</v>
      </c>
      <c r="AE15" s="85"/>
    </row>
    <row r="16" spans="1:31" s="63" customFormat="1" ht="20.25" customHeight="1">
      <c r="A16" s="61">
        <v>1</v>
      </c>
      <c r="B16" s="62">
        <v>2</v>
      </c>
      <c r="C16" s="62">
        <v>3</v>
      </c>
      <c r="D16" s="62">
        <v>4</v>
      </c>
      <c r="E16" s="61">
        <v>5</v>
      </c>
      <c r="F16" s="62">
        <v>6</v>
      </c>
      <c r="G16" s="62">
        <v>7</v>
      </c>
      <c r="H16" s="62">
        <v>8</v>
      </c>
      <c r="I16" s="61">
        <v>9</v>
      </c>
      <c r="J16" s="61">
        <v>10</v>
      </c>
      <c r="K16" s="62">
        <v>11</v>
      </c>
      <c r="L16" s="62">
        <v>12</v>
      </c>
      <c r="M16" s="62">
        <v>13</v>
      </c>
      <c r="N16" s="61">
        <v>14</v>
      </c>
      <c r="O16" s="62">
        <v>15</v>
      </c>
      <c r="P16" s="62">
        <v>13</v>
      </c>
      <c r="Q16" s="62">
        <v>14</v>
      </c>
      <c r="R16" s="61">
        <v>15</v>
      </c>
      <c r="S16" s="61">
        <v>16</v>
      </c>
      <c r="T16" s="62">
        <v>17</v>
      </c>
      <c r="U16" s="62">
        <v>18</v>
      </c>
      <c r="V16" s="62">
        <v>19</v>
      </c>
      <c r="W16" s="61">
        <v>20</v>
      </c>
      <c r="X16" s="62">
        <v>21</v>
      </c>
      <c r="Y16" s="62">
        <v>22</v>
      </c>
      <c r="Z16" s="62">
        <v>23</v>
      </c>
      <c r="AA16" s="61">
        <v>24</v>
      </c>
      <c r="AB16" s="61">
        <v>25</v>
      </c>
      <c r="AC16" s="62">
        <v>26</v>
      </c>
      <c r="AD16" s="62">
        <v>27</v>
      </c>
      <c r="AE16" s="62">
        <v>28</v>
      </c>
    </row>
    <row r="17" spans="1:33" s="69" customFormat="1" ht="23.25">
      <c r="A17" s="35" t="s">
        <v>71</v>
      </c>
      <c r="B17" s="43" t="s">
        <v>72</v>
      </c>
      <c r="C17" s="77"/>
      <c r="D17" s="77"/>
      <c r="E17" s="78"/>
      <c r="F17" s="51">
        <f>SUM(C17:E17)</f>
        <v>0</v>
      </c>
      <c r="G17" s="47">
        <v>9230100</v>
      </c>
      <c r="H17" s="47"/>
      <c r="I17" s="47">
        <v>3238300</v>
      </c>
      <c r="J17" s="47">
        <f>4098760-58264-7847</f>
        <v>4032649</v>
      </c>
      <c r="K17" s="47">
        <f>2123280-15880</f>
        <v>2107400</v>
      </c>
      <c r="L17" s="47">
        <v>2860969</v>
      </c>
      <c r="M17" s="48"/>
      <c r="N17" s="49"/>
      <c r="O17" s="50"/>
      <c r="P17" s="47"/>
      <c r="Q17" s="47">
        <v>2180400</v>
      </c>
      <c r="R17" s="47">
        <v>2148400</v>
      </c>
      <c r="S17" s="47">
        <v>6806900</v>
      </c>
      <c r="T17" s="47"/>
      <c r="U17" s="47">
        <v>194834</v>
      </c>
      <c r="V17" s="47">
        <v>164029</v>
      </c>
      <c r="W17" s="47">
        <v>249955</v>
      </c>
      <c r="X17" s="47"/>
      <c r="Y17" s="47"/>
      <c r="Z17" s="46"/>
      <c r="AA17" s="46"/>
      <c r="AB17" s="46"/>
      <c r="AC17" s="46"/>
      <c r="AD17" s="46"/>
      <c r="AE17" s="51">
        <f aca="true" t="shared" si="0" ref="AE17:AE48">SUM(G17:AD17)</f>
        <v>33213936</v>
      </c>
      <c r="AF17" s="22"/>
      <c r="AG17" s="68"/>
    </row>
    <row r="18" spans="1:33" s="69" customFormat="1" ht="23.25">
      <c r="A18" s="35" t="s">
        <v>73</v>
      </c>
      <c r="B18" s="43" t="s">
        <v>74</v>
      </c>
      <c r="C18" s="77"/>
      <c r="D18" s="77"/>
      <c r="E18" s="78"/>
      <c r="F18" s="51">
        <f aca="true" t="shared" si="1" ref="F18:F81">SUM(C18:E18)</f>
        <v>0</v>
      </c>
      <c r="G18" s="47">
        <v>1947200</v>
      </c>
      <c r="H18" s="47"/>
      <c r="I18" s="47">
        <v>1845900</v>
      </c>
      <c r="J18" s="47">
        <v>2759280</v>
      </c>
      <c r="K18" s="47">
        <f>1448065-14490</f>
        <v>1433575</v>
      </c>
      <c r="L18" s="47">
        <v>1622031</v>
      </c>
      <c r="M18" s="47"/>
      <c r="N18" s="47"/>
      <c r="O18" s="47"/>
      <c r="P18" s="47"/>
      <c r="Q18" s="47">
        <v>479000</v>
      </c>
      <c r="R18" s="47"/>
      <c r="S18" s="47">
        <v>1567500</v>
      </c>
      <c r="T18" s="47"/>
      <c r="U18" s="47">
        <v>41354</v>
      </c>
      <c r="V18" s="47">
        <v>22022</v>
      </c>
      <c r="W18" s="47">
        <v>63146</v>
      </c>
      <c r="X18" s="47"/>
      <c r="Y18" s="47"/>
      <c r="Z18" s="46"/>
      <c r="AA18" s="46"/>
      <c r="AB18" s="46"/>
      <c r="AC18" s="46"/>
      <c r="AD18" s="46"/>
      <c r="AE18" s="51">
        <f t="shared" si="0"/>
        <v>11781008</v>
      </c>
      <c r="AF18" s="22"/>
      <c r="AG18" s="68"/>
    </row>
    <row r="19" spans="1:33" s="69" customFormat="1" ht="23.25">
      <c r="A19" s="35" t="s">
        <v>75</v>
      </c>
      <c r="B19" s="43" t="s">
        <v>76</v>
      </c>
      <c r="C19" s="77"/>
      <c r="D19" s="77"/>
      <c r="E19" s="78"/>
      <c r="F19" s="51">
        <f t="shared" si="1"/>
        <v>0</v>
      </c>
      <c r="G19" s="47">
        <v>959700</v>
      </c>
      <c r="H19" s="47"/>
      <c r="I19" s="47">
        <v>844000</v>
      </c>
      <c r="J19" s="47">
        <v>197440</v>
      </c>
      <c r="K19" s="47">
        <f>104245-1170</f>
        <v>103075</v>
      </c>
      <c r="L19" s="47"/>
      <c r="M19" s="47"/>
      <c r="N19" s="47"/>
      <c r="O19" s="47"/>
      <c r="P19" s="47"/>
      <c r="Q19" s="47"/>
      <c r="R19" s="47"/>
      <c r="S19" s="47"/>
      <c r="T19" s="47"/>
      <c r="U19" s="47">
        <v>21926</v>
      </c>
      <c r="V19" s="47">
        <v>18679</v>
      </c>
      <c r="W19" s="47">
        <v>57884</v>
      </c>
      <c r="X19" s="47"/>
      <c r="Y19" s="47"/>
      <c r="Z19" s="46"/>
      <c r="AA19" s="46"/>
      <c r="AB19" s="46"/>
      <c r="AC19" s="46"/>
      <c r="AD19" s="46"/>
      <c r="AE19" s="51">
        <f t="shared" si="0"/>
        <v>2202704</v>
      </c>
      <c r="AF19" s="22"/>
      <c r="AG19" s="68"/>
    </row>
    <row r="20" spans="1:33" s="69" customFormat="1" ht="23.25">
      <c r="A20" s="35" t="s">
        <v>77</v>
      </c>
      <c r="B20" s="43" t="s">
        <v>78</v>
      </c>
      <c r="C20" s="77"/>
      <c r="D20" s="77"/>
      <c r="E20" s="78"/>
      <c r="F20" s="51">
        <f t="shared" si="1"/>
        <v>0</v>
      </c>
      <c r="G20" s="47">
        <v>1252600</v>
      </c>
      <c r="H20" s="47"/>
      <c r="I20" s="47">
        <v>1435600</v>
      </c>
      <c r="J20" s="47">
        <v>534000</v>
      </c>
      <c r="K20" s="47">
        <f>277625-2250</f>
        <v>275375</v>
      </c>
      <c r="L20" s="47"/>
      <c r="M20" s="47"/>
      <c r="N20" s="47"/>
      <c r="O20" s="47"/>
      <c r="P20" s="47"/>
      <c r="Q20" s="47"/>
      <c r="R20" s="47"/>
      <c r="S20" s="47"/>
      <c r="T20" s="47"/>
      <c r="U20" s="47">
        <v>29419</v>
      </c>
      <c r="V20" s="47">
        <v>36367</v>
      </c>
      <c r="W20" s="47">
        <v>39467</v>
      </c>
      <c r="X20" s="47"/>
      <c r="Y20" s="47"/>
      <c r="Z20" s="46"/>
      <c r="AA20" s="46"/>
      <c r="AB20" s="46"/>
      <c r="AC20" s="46"/>
      <c r="AD20" s="46"/>
      <c r="AE20" s="51">
        <f t="shared" si="0"/>
        <v>3602828</v>
      </c>
      <c r="AF20" s="22"/>
      <c r="AG20" s="68"/>
    </row>
    <row r="21" spans="1:33" s="69" customFormat="1" ht="23.25">
      <c r="A21" s="35" t="s">
        <v>79</v>
      </c>
      <c r="B21" s="43" t="s">
        <v>80</v>
      </c>
      <c r="C21" s="77"/>
      <c r="D21" s="77"/>
      <c r="E21" s="78"/>
      <c r="F21" s="51">
        <f t="shared" si="1"/>
        <v>0</v>
      </c>
      <c r="G21" s="47">
        <v>3520900</v>
      </c>
      <c r="H21" s="47"/>
      <c r="I21" s="47">
        <v>1030500</v>
      </c>
      <c r="J21" s="47">
        <v>71400</v>
      </c>
      <c r="K21" s="47">
        <f>37825-450</f>
        <v>37375</v>
      </c>
      <c r="L21" s="47"/>
      <c r="M21" s="47"/>
      <c r="N21" s="47"/>
      <c r="O21" s="47"/>
      <c r="P21" s="47"/>
      <c r="Q21" s="47">
        <v>111600</v>
      </c>
      <c r="R21" s="47"/>
      <c r="S21" s="47">
        <v>343600</v>
      </c>
      <c r="T21" s="47"/>
      <c r="U21" s="47">
        <v>6939</v>
      </c>
      <c r="V21" s="47">
        <v>8063</v>
      </c>
      <c r="W21" s="47">
        <v>13156</v>
      </c>
      <c r="X21" s="47"/>
      <c r="Y21" s="47"/>
      <c r="Z21" s="46"/>
      <c r="AA21" s="46"/>
      <c r="AB21" s="46"/>
      <c r="AC21" s="46"/>
      <c r="AD21" s="46"/>
      <c r="AE21" s="51">
        <f t="shared" si="0"/>
        <v>5143533</v>
      </c>
      <c r="AF21" s="22"/>
      <c r="AG21" s="68"/>
    </row>
    <row r="22" spans="1:33" s="69" customFormat="1" ht="23.25">
      <c r="A22" s="35" t="s">
        <v>81</v>
      </c>
      <c r="B22" s="43" t="s">
        <v>82</v>
      </c>
      <c r="C22" s="77"/>
      <c r="D22" s="77"/>
      <c r="E22" s="78"/>
      <c r="F22" s="51">
        <f t="shared" si="1"/>
        <v>0</v>
      </c>
      <c r="G22" s="47">
        <v>5145700</v>
      </c>
      <c r="H22" s="47"/>
      <c r="I22" s="47">
        <v>1545700</v>
      </c>
      <c r="J22" s="47">
        <v>339640</v>
      </c>
      <c r="K22" s="47">
        <f>177470-1620</f>
        <v>175850</v>
      </c>
      <c r="L22" s="47"/>
      <c r="M22" s="47"/>
      <c r="N22" s="47"/>
      <c r="O22" s="47"/>
      <c r="P22" s="47"/>
      <c r="Q22" s="47">
        <v>134800</v>
      </c>
      <c r="R22" s="47"/>
      <c r="S22" s="47">
        <v>422000</v>
      </c>
      <c r="T22" s="47"/>
      <c r="U22" s="47">
        <v>4718</v>
      </c>
      <c r="V22" s="47">
        <v>11725</v>
      </c>
      <c r="W22" s="47">
        <v>13156</v>
      </c>
      <c r="X22" s="47"/>
      <c r="Y22" s="47"/>
      <c r="Z22" s="46">
        <f>1674200</f>
        <v>1674200</v>
      </c>
      <c r="AA22" s="46"/>
      <c r="AB22" s="46"/>
      <c r="AC22" s="46"/>
      <c r="AD22" s="46"/>
      <c r="AE22" s="51">
        <f t="shared" si="0"/>
        <v>9467489</v>
      </c>
      <c r="AF22" s="22"/>
      <c r="AG22" s="68"/>
    </row>
    <row r="23" spans="1:33" s="69" customFormat="1" ht="23.25">
      <c r="A23" s="35" t="s">
        <v>83</v>
      </c>
      <c r="B23" s="43" t="s">
        <v>84</v>
      </c>
      <c r="C23" s="77"/>
      <c r="D23" s="77"/>
      <c r="E23" s="78"/>
      <c r="F23" s="51">
        <f t="shared" si="1"/>
        <v>0</v>
      </c>
      <c r="G23" s="47">
        <v>4275700</v>
      </c>
      <c r="H23" s="47"/>
      <c r="I23" s="47"/>
      <c r="J23" s="47">
        <v>14280</v>
      </c>
      <c r="K23" s="47">
        <f>7565-90</f>
        <v>7475</v>
      </c>
      <c r="L23" s="47"/>
      <c r="M23" s="47"/>
      <c r="N23" s="47"/>
      <c r="O23" s="47"/>
      <c r="P23" s="47"/>
      <c r="Q23" s="47">
        <v>341100</v>
      </c>
      <c r="R23" s="47"/>
      <c r="S23" s="47">
        <v>1057000</v>
      </c>
      <c r="T23" s="47"/>
      <c r="U23" s="47">
        <v>13322</v>
      </c>
      <c r="V23" s="47">
        <v>21434</v>
      </c>
      <c r="W23" s="47">
        <v>34204</v>
      </c>
      <c r="X23" s="47"/>
      <c r="Y23" s="47"/>
      <c r="Z23" s="46"/>
      <c r="AA23" s="46"/>
      <c r="AB23" s="46"/>
      <c r="AC23" s="46"/>
      <c r="AD23" s="46"/>
      <c r="AE23" s="51">
        <f t="shared" si="0"/>
        <v>5764515</v>
      </c>
      <c r="AF23" s="22"/>
      <c r="AG23" s="68"/>
    </row>
    <row r="24" spans="1:33" s="69" customFormat="1" ht="23.25">
      <c r="A24" s="35" t="s">
        <v>85</v>
      </c>
      <c r="B24" s="43" t="s">
        <v>86</v>
      </c>
      <c r="C24" s="77"/>
      <c r="D24" s="77"/>
      <c r="E24" s="78"/>
      <c r="F24" s="51">
        <f t="shared" si="1"/>
        <v>0</v>
      </c>
      <c r="G24" s="47">
        <v>4312200</v>
      </c>
      <c r="H24" s="47"/>
      <c r="I24" s="47"/>
      <c r="J24" s="47">
        <v>14280</v>
      </c>
      <c r="K24" s="47">
        <f>7565-90</f>
        <v>7475</v>
      </c>
      <c r="L24" s="47"/>
      <c r="M24" s="47"/>
      <c r="N24" s="47"/>
      <c r="O24" s="47"/>
      <c r="P24" s="47"/>
      <c r="Q24" s="47">
        <v>235800</v>
      </c>
      <c r="R24" s="47"/>
      <c r="S24" s="47">
        <v>775600</v>
      </c>
      <c r="T24" s="47"/>
      <c r="U24" s="47">
        <v>8049</v>
      </c>
      <c r="V24" s="47">
        <v>44296</v>
      </c>
      <c r="W24" s="47">
        <v>18418</v>
      </c>
      <c r="X24" s="47"/>
      <c r="Y24" s="47"/>
      <c r="Z24" s="46">
        <v>1422100</v>
      </c>
      <c r="AA24" s="46"/>
      <c r="AB24" s="46"/>
      <c r="AC24" s="46"/>
      <c r="AD24" s="46"/>
      <c r="AE24" s="51">
        <f t="shared" si="0"/>
        <v>6838218</v>
      </c>
      <c r="AF24" s="22"/>
      <c r="AG24" s="68"/>
    </row>
    <row r="25" spans="1:33" s="69" customFormat="1" ht="23.25">
      <c r="A25" s="35" t="s">
        <v>87</v>
      </c>
      <c r="B25" s="43" t="s">
        <v>88</v>
      </c>
      <c r="C25" s="77"/>
      <c r="D25" s="77"/>
      <c r="E25" s="78"/>
      <c r="F25" s="51">
        <f t="shared" si="1"/>
        <v>0</v>
      </c>
      <c r="G25" s="47">
        <v>4492400</v>
      </c>
      <c r="H25" s="47"/>
      <c r="I25" s="47">
        <v>1280100</v>
      </c>
      <c r="J25" s="47">
        <f>154600+30767</f>
        <v>185367</v>
      </c>
      <c r="K25" s="47">
        <f>81550-900</f>
        <v>80650</v>
      </c>
      <c r="L25" s="47"/>
      <c r="M25" s="47"/>
      <c r="N25" s="47"/>
      <c r="O25" s="47"/>
      <c r="P25" s="47"/>
      <c r="Q25" s="47">
        <v>179000</v>
      </c>
      <c r="R25" s="47"/>
      <c r="S25" s="47">
        <v>540000</v>
      </c>
      <c r="T25" s="47"/>
      <c r="U25" s="47">
        <v>8049</v>
      </c>
      <c r="V25" s="47">
        <v>26524</v>
      </c>
      <c r="W25" s="47">
        <v>15787</v>
      </c>
      <c r="X25" s="47"/>
      <c r="Y25" s="47"/>
      <c r="Z25" s="46">
        <f>1530000</f>
        <v>1530000</v>
      </c>
      <c r="AA25" s="46"/>
      <c r="AB25" s="46"/>
      <c r="AC25" s="46">
        <f>732224</f>
        <v>732224</v>
      </c>
      <c r="AD25" s="46"/>
      <c r="AE25" s="51">
        <f t="shared" si="0"/>
        <v>9070101</v>
      </c>
      <c r="AF25" s="22"/>
      <c r="AG25" s="68"/>
    </row>
    <row r="26" spans="1:33" s="69" customFormat="1" ht="23.25">
      <c r="A26" s="35">
        <v>22306200000</v>
      </c>
      <c r="B26" s="43" t="s">
        <v>89</v>
      </c>
      <c r="C26" s="77"/>
      <c r="D26" s="77"/>
      <c r="E26" s="78"/>
      <c r="F26" s="51">
        <f t="shared" si="1"/>
        <v>0</v>
      </c>
      <c r="G26" s="47">
        <v>3934100</v>
      </c>
      <c r="H26" s="47"/>
      <c r="I26" s="47"/>
      <c r="J26" s="47"/>
      <c r="K26" s="47"/>
      <c r="L26" s="47"/>
      <c r="M26" s="47"/>
      <c r="N26" s="47"/>
      <c r="O26" s="47"/>
      <c r="P26" s="47"/>
      <c r="Q26" s="47">
        <v>385300</v>
      </c>
      <c r="R26" s="47"/>
      <c r="S26" s="47">
        <v>1181400</v>
      </c>
      <c r="T26" s="47"/>
      <c r="U26" s="47">
        <v>27477</v>
      </c>
      <c r="V26" s="47">
        <v>78966</v>
      </c>
      <c r="W26" s="47">
        <v>26311</v>
      </c>
      <c r="X26" s="47"/>
      <c r="Y26" s="47"/>
      <c r="Z26" s="46"/>
      <c r="AA26" s="46"/>
      <c r="AB26" s="46"/>
      <c r="AC26" s="46"/>
      <c r="AD26" s="46"/>
      <c r="AE26" s="51">
        <f t="shared" si="0"/>
        <v>5633554</v>
      </c>
      <c r="AF26" s="22"/>
      <c r="AG26" s="68"/>
    </row>
    <row r="27" spans="1:33" s="69" customFormat="1" ht="23.25">
      <c r="A27" s="35" t="s">
        <v>90</v>
      </c>
      <c r="B27" s="43" t="s">
        <v>91</v>
      </c>
      <c r="C27" s="77"/>
      <c r="D27" s="77"/>
      <c r="E27" s="78"/>
      <c r="F27" s="51">
        <f t="shared" si="1"/>
        <v>0</v>
      </c>
      <c r="G27" s="47">
        <v>9025600</v>
      </c>
      <c r="H27" s="47"/>
      <c r="I27" s="47">
        <v>1144800</v>
      </c>
      <c r="J27" s="47">
        <v>128520</v>
      </c>
      <c r="K27" s="47">
        <f>68085-810</f>
        <v>67275</v>
      </c>
      <c r="L27" s="47"/>
      <c r="M27" s="47"/>
      <c r="N27" s="47"/>
      <c r="O27" s="47"/>
      <c r="P27" s="47"/>
      <c r="Q27" s="47">
        <v>251600</v>
      </c>
      <c r="R27" s="47"/>
      <c r="S27" s="47">
        <v>769000</v>
      </c>
      <c r="T27" s="47"/>
      <c r="U27" s="47">
        <v>14987</v>
      </c>
      <c r="V27" s="47">
        <v>22811</v>
      </c>
      <c r="W27" s="47">
        <v>31573</v>
      </c>
      <c r="X27" s="47"/>
      <c r="Y27" s="47"/>
      <c r="Z27" s="46">
        <f>2526000</f>
        <v>2526000</v>
      </c>
      <c r="AA27" s="46"/>
      <c r="AB27" s="46"/>
      <c r="AC27" s="46"/>
      <c r="AD27" s="46"/>
      <c r="AE27" s="51">
        <f t="shared" si="0"/>
        <v>13982166</v>
      </c>
      <c r="AF27" s="22"/>
      <c r="AG27" s="68"/>
    </row>
    <row r="28" spans="1:33" s="69" customFormat="1" ht="23.25">
      <c r="A28" s="35" t="s">
        <v>92</v>
      </c>
      <c r="B28" s="43" t="s">
        <v>93</v>
      </c>
      <c r="C28" s="77"/>
      <c r="D28" s="77"/>
      <c r="E28" s="78"/>
      <c r="F28" s="51">
        <f t="shared" si="1"/>
        <v>0</v>
      </c>
      <c r="G28" s="47">
        <v>6431300</v>
      </c>
      <c r="H28" s="47"/>
      <c r="I28" s="47">
        <v>800200</v>
      </c>
      <c r="J28" s="47">
        <v>83200</v>
      </c>
      <c r="K28" s="47">
        <f>43725-450</f>
        <v>43275</v>
      </c>
      <c r="L28" s="47"/>
      <c r="M28" s="47"/>
      <c r="N28" s="47"/>
      <c r="O28" s="47"/>
      <c r="P28" s="47"/>
      <c r="Q28" s="47">
        <v>390600</v>
      </c>
      <c r="R28" s="47"/>
      <c r="S28" s="47">
        <v>1240300</v>
      </c>
      <c r="T28" s="47"/>
      <c r="U28" s="47">
        <v>24979</v>
      </c>
      <c r="V28" s="47">
        <v>27817</v>
      </c>
      <c r="W28" s="47">
        <v>34204</v>
      </c>
      <c r="X28" s="47"/>
      <c r="Y28" s="47"/>
      <c r="Z28" s="46">
        <f>320000</f>
        <v>320000</v>
      </c>
      <c r="AA28" s="46"/>
      <c r="AB28" s="46"/>
      <c r="AC28" s="46"/>
      <c r="AD28" s="46"/>
      <c r="AE28" s="51">
        <f t="shared" si="0"/>
        <v>9395875</v>
      </c>
      <c r="AF28" s="22"/>
      <c r="AG28" s="68"/>
    </row>
    <row r="29" spans="1:33" s="69" customFormat="1" ht="23.25">
      <c r="A29" s="35" t="s">
        <v>94</v>
      </c>
      <c r="B29" s="43" t="s">
        <v>95</v>
      </c>
      <c r="C29" s="77"/>
      <c r="D29" s="77"/>
      <c r="E29" s="78"/>
      <c r="F29" s="51">
        <f t="shared" si="1"/>
        <v>0</v>
      </c>
      <c r="G29" s="47">
        <v>8560900</v>
      </c>
      <c r="H29" s="47"/>
      <c r="I29" s="47"/>
      <c r="J29" s="47">
        <v>28560</v>
      </c>
      <c r="K29" s="47">
        <f>15130-180</f>
        <v>14950</v>
      </c>
      <c r="L29" s="47"/>
      <c r="M29" s="47"/>
      <c r="N29" s="47"/>
      <c r="O29" s="47"/>
      <c r="P29" s="47"/>
      <c r="Q29" s="47">
        <v>265300</v>
      </c>
      <c r="R29" s="47"/>
      <c r="S29" s="47">
        <v>857400</v>
      </c>
      <c r="T29" s="47"/>
      <c r="U29" s="47">
        <v>25256</v>
      </c>
      <c r="V29" s="47">
        <v>30572</v>
      </c>
      <c r="W29" s="47">
        <v>23680</v>
      </c>
      <c r="X29" s="47"/>
      <c r="Y29" s="47"/>
      <c r="Z29" s="46">
        <f>1464300</f>
        <v>1464300</v>
      </c>
      <c r="AA29" s="46"/>
      <c r="AB29" s="46"/>
      <c r="AC29" s="46"/>
      <c r="AD29" s="46"/>
      <c r="AE29" s="51">
        <f t="shared" si="0"/>
        <v>11270918</v>
      </c>
      <c r="AF29" s="22"/>
      <c r="AG29" s="68"/>
    </row>
    <row r="30" spans="1:33" s="69" customFormat="1" ht="23.25">
      <c r="A30" s="35">
        <v>22310200000</v>
      </c>
      <c r="B30" s="43" t="s">
        <v>104</v>
      </c>
      <c r="C30" s="77"/>
      <c r="D30" s="77"/>
      <c r="E30" s="78"/>
      <c r="F30" s="51">
        <f t="shared" si="1"/>
        <v>0</v>
      </c>
      <c r="G30" s="47">
        <v>1510000</v>
      </c>
      <c r="H30" s="47"/>
      <c r="I30" s="47"/>
      <c r="J30" s="47"/>
      <c r="K30" s="47"/>
      <c r="L30" s="47"/>
      <c r="M30" s="47"/>
      <c r="N30" s="47"/>
      <c r="O30" s="47"/>
      <c r="P30" s="47"/>
      <c r="Q30" s="47">
        <v>141100</v>
      </c>
      <c r="R30" s="47"/>
      <c r="S30" s="47">
        <v>422200</v>
      </c>
      <c r="T30" s="47"/>
      <c r="U30" s="47">
        <v>6383</v>
      </c>
      <c r="V30" s="47">
        <v>25550</v>
      </c>
      <c r="W30" s="47">
        <v>18418</v>
      </c>
      <c r="X30" s="47"/>
      <c r="Y30" s="47"/>
      <c r="Z30" s="46"/>
      <c r="AA30" s="46">
        <v>500000</v>
      </c>
      <c r="AB30" s="46"/>
      <c r="AC30" s="46"/>
      <c r="AD30" s="46"/>
      <c r="AE30" s="51">
        <f t="shared" si="0"/>
        <v>2623651</v>
      </c>
      <c r="AF30" s="22"/>
      <c r="AG30" s="68"/>
    </row>
    <row r="31" spans="1:33" s="69" customFormat="1" ht="23.25">
      <c r="A31" s="35" t="s">
        <v>96</v>
      </c>
      <c r="B31" s="43" t="s">
        <v>97</v>
      </c>
      <c r="C31" s="77"/>
      <c r="D31" s="77"/>
      <c r="E31" s="78"/>
      <c r="F31" s="51">
        <f t="shared" si="1"/>
        <v>0</v>
      </c>
      <c r="G31" s="47">
        <v>2631900</v>
      </c>
      <c r="H31" s="47"/>
      <c r="I31" s="47"/>
      <c r="J31" s="47"/>
      <c r="K31" s="47"/>
      <c r="L31" s="47"/>
      <c r="M31" s="47"/>
      <c r="N31" s="47"/>
      <c r="O31" s="47"/>
      <c r="P31" s="47"/>
      <c r="Q31" s="47">
        <v>159000</v>
      </c>
      <c r="R31" s="47"/>
      <c r="S31" s="47">
        <v>445000</v>
      </c>
      <c r="T31" s="47"/>
      <c r="U31" s="47">
        <v>6106</v>
      </c>
      <c r="V31" s="47">
        <v>6232</v>
      </c>
      <c r="W31" s="47">
        <v>13156</v>
      </c>
      <c r="X31" s="47"/>
      <c r="Y31" s="47"/>
      <c r="Z31" s="46"/>
      <c r="AA31" s="46"/>
      <c r="AB31" s="46"/>
      <c r="AC31" s="46"/>
      <c r="AD31" s="46"/>
      <c r="AE31" s="51">
        <f t="shared" si="0"/>
        <v>3261394</v>
      </c>
      <c r="AF31" s="22"/>
      <c r="AG31" s="68"/>
    </row>
    <row r="32" spans="1:33" s="69" customFormat="1" ht="23.25">
      <c r="A32" s="35" t="s">
        <v>98</v>
      </c>
      <c r="B32" s="43" t="s">
        <v>99</v>
      </c>
      <c r="C32" s="77"/>
      <c r="D32" s="77"/>
      <c r="E32" s="78"/>
      <c r="F32" s="51">
        <f t="shared" si="1"/>
        <v>0</v>
      </c>
      <c r="G32" s="47">
        <v>2970400</v>
      </c>
      <c r="H32" s="47"/>
      <c r="I32" s="47"/>
      <c r="J32" s="47"/>
      <c r="K32" s="47"/>
      <c r="L32" s="47"/>
      <c r="M32" s="47"/>
      <c r="N32" s="47"/>
      <c r="O32" s="47"/>
      <c r="P32" s="47"/>
      <c r="Q32" s="47">
        <v>261100</v>
      </c>
      <c r="R32" s="47"/>
      <c r="S32" s="47">
        <v>802000</v>
      </c>
      <c r="T32" s="47"/>
      <c r="U32" s="47">
        <v>23036</v>
      </c>
      <c r="V32" s="47">
        <v>29698</v>
      </c>
      <c r="W32" s="47">
        <v>18418</v>
      </c>
      <c r="X32" s="47"/>
      <c r="Y32" s="47"/>
      <c r="Z32" s="46"/>
      <c r="AA32" s="46"/>
      <c r="AB32" s="46"/>
      <c r="AC32" s="46"/>
      <c r="AD32" s="46"/>
      <c r="AE32" s="51">
        <f t="shared" si="0"/>
        <v>4104652</v>
      </c>
      <c r="AF32" s="22"/>
      <c r="AG32" s="68"/>
    </row>
    <row r="33" spans="1:33" s="69" customFormat="1" ht="23.25">
      <c r="A33" s="35" t="s">
        <v>100</v>
      </c>
      <c r="B33" s="43" t="s">
        <v>101</v>
      </c>
      <c r="C33" s="77"/>
      <c r="D33" s="77"/>
      <c r="E33" s="78"/>
      <c r="F33" s="51">
        <f t="shared" si="1"/>
        <v>0</v>
      </c>
      <c r="G33" s="47">
        <v>3503900</v>
      </c>
      <c r="H33" s="47"/>
      <c r="I33" s="47"/>
      <c r="J33" s="47"/>
      <c r="K33" s="47"/>
      <c r="L33" s="47"/>
      <c r="M33" s="47"/>
      <c r="N33" s="47"/>
      <c r="O33" s="47"/>
      <c r="P33" s="47"/>
      <c r="Q33" s="47">
        <v>375900</v>
      </c>
      <c r="R33" s="47"/>
      <c r="S33" s="47">
        <v>1135600</v>
      </c>
      <c r="T33" s="47"/>
      <c r="U33" s="47">
        <v>5551</v>
      </c>
      <c r="V33" s="47">
        <v>11221</v>
      </c>
      <c r="W33" s="47">
        <v>15787</v>
      </c>
      <c r="X33" s="47"/>
      <c r="Y33" s="47"/>
      <c r="Z33" s="46"/>
      <c r="AA33" s="46"/>
      <c r="AB33" s="46"/>
      <c r="AC33" s="46"/>
      <c r="AD33" s="46"/>
      <c r="AE33" s="51">
        <f t="shared" si="0"/>
        <v>5047959</v>
      </c>
      <c r="AF33" s="22"/>
      <c r="AG33" s="68"/>
    </row>
    <row r="34" spans="1:33" s="69" customFormat="1" ht="23.25">
      <c r="A34" s="35" t="s">
        <v>102</v>
      </c>
      <c r="B34" s="43" t="s">
        <v>103</v>
      </c>
      <c r="C34" s="77"/>
      <c r="D34" s="77"/>
      <c r="E34" s="78"/>
      <c r="F34" s="51">
        <f t="shared" si="1"/>
        <v>0</v>
      </c>
      <c r="G34" s="47">
        <v>8309600</v>
      </c>
      <c r="H34" s="47"/>
      <c r="I34" s="47">
        <v>827599.9999999999</v>
      </c>
      <c r="J34" s="47">
        <v>52160</v>
      </c>
      <c r="K34" s="47">
        <f>26930-180</f>
        <v>26750</v>
      </c>
      <c r="L34" s="47"/>
      <c r="M34" s="47"/>
      <c r="N34" s="47"/>
      <c r="O34" s="47"/>
      <c r="P34" s="47"/>
      <c r="Q34" s="47">
        <v>454800</v>
      </c>
      <c r="R34" s="47"/>
      <c r="S34" s="47">
        <v>1384300</v>
      </c>
      <c r="T34" s="47">
        <f>84400</f>
        <v>84400</v>
      </c>
      <c r="U34" s="47">
        <v>10269</v>
      </c>
      <c r="V34" s="47">
        <v>11120</v>
      </c>
      <c r="W34" s="47">
        <v>18418</v>
      </c>
      <c r="X34" s="47"/>
      <c r="Y34" s="47"/>
      <c r="Z34" s="46">
        <f>1480000</f>
        <v>1480000</v>
      </c>
      <c r="AA34" s="46"/>
      <c r="AB34" s="46"/>
      <c r="AC34" s="46"/>
      <c r="AD34" s="46"/>
      <c r="AE34" s="51">
        <f t="shared" si="0"/>
        <v>12659417</v>
      </c>
      <c r="AF34" s="22"/>
      <c r="AG34" s="68"/>
    </row>
    <row r="35" spans="1:33" s="69" customFormat="1" ht="23.25">
      <c r="A35" s="35">
        <v>22315200000</v>
      </c>
      <c r="B35" s="43" t="s">
        <v>115</v>
      </c>
      <c r="C35" s="77"/>
      <c r="D35" s="77"/>
      <c r="E35" s="78"/>
      <c r="F35" s="51">
        <f t="shared" si="1"/>
        <v>0</v>
      </c>
      <c r="G35" s="47">
        <v>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>
        <v>1943</v>
      </c>
      <c r="V35" s="47">
        <v>8668</v>
      </c>
      <c r="W35" s="47">
        <v>10524</v>
      </c>
      <c r="X35" s="47"/>
      <c r="Y35" s="47"/>
      <c r="Z35" s="46"/>
      <c r="AA35" s="46"/>
      <c r="AB35" s="46"/>
      <c r="AC35" s="46"/>
      <c r="AD35" s="46"/>
      <c r="AE35" s="51">
        <f t="shared" si="0"/>
        <v>21135</v>
      </c>
      <c r="AF35" s="22"/>
      <c r="AG35" s="68"/>
    </row>
    <row r="36" spans="1:33" s="69" customFormat="1" ht="23.25">
      <c r="A36" s="35" t="s">
        <v>105</v>
      </c>
      <c r="B36" s="43" t="s">
        <v>106</v>
      </c>
      <c r="C36" s="77"/>
      <c r="D36" s="77"/>
      <c r="E36" s="78"/>
      <c r="F36" s="51">
        <f t="shared" si="1"/>
        <v>0</v>
      </c>
      <c r="G36" s="47">
        <v>7448800</v>
      </c>
      <c r="H36" s="47"/>
      <c r="I36" s="47">
        <v>948600</v>
      </c>
      <c r="J36" s="47">
        <v>54640</v>
      </c>
      <c r="K36" s="47">
        <f>28595-270</f>
        <v>28325</v>
      </c>
      <c r="L36" s="47"/>
      <c r="M36" s="47"/>
      <c r="N36" s="47"/>
      <c r="O36" s="47"/>
      <c r="P36" s="47"/>
      <c r="Q36" s="47">
        <v>166300</v>
      </c>
      <c r="R36" s="47"/>
      <c r="S36" s="47">
        <v>504000</v>
      </c>
      <c r="T36" s="47"/>
      <c r="U36" s="47">
        <v>11657</v>
      </c>
      <c r="V36" s="47">
        <v>14765</v>
      </c>
      <c r="W36" s="47">
        <v>13156</v>
      </c>
      <c r="X36" s="47"/>
      <c r="Y36" s="47"/>
      <c r="Z36" s="46">
        <v>1000000</v>
      </c>
      <c r="AA36" s="46"/>
      <c r="AB36" s="46"/>
      <c r="AC36" s="46"/>
      <c r="AD36" s="46"/>
      <c r="AE36" s="51">
        <f t="shared" si="0"/>
        <v>10190243</v>
      </c>
      <c r="AF36" s="22"/>
      <c r="AG36" s="68"/>
    </row>
    <row r="37" spans="1:33" s="69" customFormat="1" ht="23.25">
      <c r="A37" s="35" t="s">
        <v>107</v>
      </c>
      <c r="B37" s="43" t="s">
        <v>108</v>
      </c>
      <c r="C37" s="77"/>
      <c r="D37" s="77"/>
      <c r="E37" s="78"/>
      <c r="F37" s="51">
        <f t="shared" si="1"/>
        <v>0</v>
      </c>
      <c r="G37" s="47">
        <v>5545400</v>
      </c>
      <c r="H37" s="47"/>
      <c r="I37" s="47"/>
      <c r="J37" s="47">
        <v>42840</v>
      </c>
      <c r="K37" s="47">
        <f>22695-270</f>
        <v>22425</v>
      </c>
      <c r="L37" s="47"/>
      <c r="M37" s="47"/>
      <c r="N37" s="47"/>
      <c r="O37" s="47"/>
      <c r="P37" s="47"/>
      <c r="Q37" s="47">
        <v>249500</v>
      </c>
      <c r="R37" s="47"/>
      <c r="S37" s="47">
        <v>759200</v>
      </c>
      <c r="T37" s="47"/>
      <c r="U37" s="47">
        <v>18595</v>
      </c>
      <c r="V37" s="47">
        <v>15874</v>
      </c>
      <c r="W37" s="47">
        <v>36835</v>
      </c>
      <c r="X37" s="47"/>
      <c r="Y37" s="47"/>
      <c r="Z37" s="46"/>
      <c r="AA37" s="46"/>
      <c r="AB37" s="46"/>
      <c r="AC37" s="46"/>
      <c r="AD37" s="46"/>
      <c r="AE37" s="51">
        <f t="shared" si="0"/>
        <v>6690669</v>
      </c>
      <c r="AF37" s="22"/>
      <c r="AG37" s="68"/>
    </row>
    <row r="38" spans="1:33" s="69" customFormat="1" ht="23.25">
      <c r="A38" s="35" t="s">
        <v>109</v>
      </c>
      <c r="B38" s="43" t="s">
        <v>110</v>
      </c>
      <c r="C38" s="77"/>
      <c r="D38" s="77"/>
      <c r="E38" s="78"/>
      <c r="F38" s="51">
        <f t="shared" si="1"/>
        <v>0</v>
      </c>
      <c r="G38" s="47">
        <v>5087800</v>
      </c>
      <c r="H38" s="47"/>
      <c r="I38" s="47"/>
      <c r="J38" s="47">
        <v>57120</v>
      </c>
      <c r="K38" s="47">
        <f>30260-360</f>
        <v>29900</v>
      </c>
      <c r="L38" s="47"/>
      <c r="M38" s="47"/>
      <c r="N38" s="47"/>
      <c r="O38" s="47"/>
      <c r="P38" s="47"/>
      <c r="Q38" s="47">
        <v>231600</v>
      </c>
      <c r="R38" s="47"/>
      <c r="S38" s="47">
        <v>716700</v>
      </c>
      <c r="T38" s="47"/>
      <c r="U38" s="47">
        <v>33305</v>
      </c>
      <c r="V38" s="47">
        <v>23802</v>
      </c>
      <c r="W38" s="47">
        <v>21049</v>
      </c>
      <c r="X38" s="47"/>
      <c r="Y38" s="47"/>
      <c r="Z38" s="46">
        <f>2573300</f>
        <v>2573300</v>
      </c>
      <c r="AA38" s="46"/>
      <c r="AB38" s="46"/>
      <c r="AC38" s="46"/>
      <c r="AD38" s="46"/>
      <c r="AE38" s="51">
        <f t="shared" si="0"/>
        <v>8774576</v>
      </c>
      <c r="AF38" s="22"/>
      <c r="AG38" s="68"/>
    </row>
    <row r="39" spans="1:33" s="69" customFormat="1" ht="23.25">
      <c r="A39" s="35" t="s">
        <v>111</v>
      </c>
      <c r="B39" s="43" t="s">
        <v>112</v>
      </c>
      <c r="C39" s="77"/>
      <c r="D39" s="77"/>
      <c r="E39" s="78"/>
      <c r="F39" s="51">
        <f t="shared" si="1"/>
        <v>0</v>
      </c>
      <c r="G39" s="47">
        <v>5422900</v>
      </c>
      <c r="H39" s="47"/>
      <c r="I39" s="47"/>
      <c r="J39" s="47">
        <f>252080-23600</f>
        <v>228480</v>
      </c>
      <c r="K39" s="47">
        <f>132840-11800-1440</f>
        <v>119600</v>
      </c>
      <c r="L39" s="47"/>
      <c r="M39" s="47"/>
      <c r="N39" s="47"/>
      <c r="O39" s="47"/>
      <c r="P39" s="47"/>
      <c r="Q39" s="47">
        <v>485400</v>
      </c>
      <c r="R39" s="47"/>
      <c r="S39" s="47">
        <v>1420300</v>
      </c>
      <c r="T39" s="47"/>
      <c r="U39" s="47">
        <v>4441</v>
      </c>
      <c r="V39" s="47">
        <v>14530</v>
      </c>
      <c r="W39" s="47">
        <v>21049</v>
      </c>
      <c r="X39" s="47"/>
      <c r="Y39" s="47"/>
      <c r="Z39" s="46"/>
      <c r="AA39" s="46">
        <v>1357000</v>
      </c>
      <c r="AB39" s="46"/>
      <c r="AC39" s="46"/>
      <c r="AD39" s="46"/>
      <c r="AE39" s="51">
        <f t="shared" si="0"/>
        <v>9073700</v>
      </c>
      <c r="AF39" s="22"/>
      <c r="AG39" s="68"/>
    </row>
    <row r="40" spans="1:33" s="69" customFormat="1" ht="23.25">
      <c r="A40" s="35" t="s">
        <v>113</v>
      </c>
      <c r="B40" s="43" t="s">
        <v>114</v>
      </c>
      <c r="C40" s="77"/>
      <c r="D40" s="77"/>
      <c r="E40" s="78"/>
      <c r="F40" s="51">
        <f t="shared" si="1"/>
        <v>0</v>
      </c>
      <c r="G40" s="47">
        <v>5669300</v>
      </c>
      <c r="H40" s="47"/>
      <c r="I40" s="47">
        <v>1558800.0000000002</v>
      </c>
      <c r="J40" s="47">
        <v>337760</v>
      </c>
      <c r="K40" s="47">
        <f>178230-1980</f>
        <v>176250</v>
      </c>
      <c r="L40" s="47"/>
      <c r="M40" s="47"/>
      <c r="N40" s="47"/>
      <c r="O40" s="47"/>
      <c r="P40" s="47"/>
      <c r="Q40" s="47">
        <v>171600</v>
      </c>
      <c r="R40" s="47"/>
      <c r="S40" s="47">
        <v>549800</v>
      </c>
      <c r="T40" s="47"/>
      <c r="U40" s="47">
        <v>11379</v>
      </c>
      <c r="V40" s="47">
        <v>15488</v>
      </c>
      <c r="W40" s="47">
        <v>26311</v>
      </c>
      <c r="X40" s="47"/>
      <c r="Y40" s="47"/>
      <c r="Z40" s="46"/>
      <c r="AA40" s="46"/>
      <c r="AB40" s="46"/>
      <c r="AC40" s="46"/>
      <c r="AD40" s="46"/>
      <c r="AE40" s="51">
        <f t="shared" si="0"/>
        <v>8516688</v>
      </c>
      <c r="AF40" s="22"/>
      <c r="AG40" s="68"/>
    </row>
    <row r="41" spans="1:33" s="21" customFormat="1" ht="37.5">
      <c r="A41" s="42" t="s">
        <v>1</v>
      </c>
      <c r="B41" s="44" t="s">
        <v>116</v>
      </c>
      <c r="C41" s="79"/>
      <c r="D41" s="79"/>
      <c r="E41" s="78"/>
      <c r="F41" s="51">
        <f t="shared" si="1"/>
        <v>0</v>
      </c>
      <c r="G41" s="47">
        <v>1509800</v>
      </c>
      <c r="H41" s="47"/>
      <c r="I41" s="47"/>
      <c r="J41" s="47">
        <v>99960</v>
      </c>
      <c r="K41" s="47">
        <f>52955-630</f>
        <v>52325</v>
      </c>
      <c r="L41" s="47"/>
      <c r="M41" s="47"/>
      <c r="N41" s="47"/>
      <c r="O41" s="47"/>
      <c r="P41" s="51"/>
      <c r="Q41" s="47"/>
      <c r="R41" s="47"/>
      <c r="S41" s="47"/>
      <c r="T41" s="47"/>
      <c r="U41" s="47"/>
      <c r="V41" s="47"/>
      <c r="W41" s="47"/>
      <c r="X41" s="47"/>
      <c r="Y41" s="47"/>
      <c r="Z41" s="46">
        <f>2475700</f>
        <v>2475700</v>
      </c>
      <c r="AA41" s="46"/>
      <c r="AB41" s="46"/>
      <c r="AC41" s="46"/>
      <c r="AD41" s="46"/>
      <c r="AE41" s="51">
        <f t="shared" si="0"/>
        <v>4137785</v>
      </c>
      <c r="AF41" s="22"/>
      <c r="AG41" s="68"/>
    </row>
    <row r="42" spans="1:33" s="21" customFormat="1" ht="37.5">
      <c r="A42" s="42" t="s">
        <v>2</v>
      </c>
      <c r="B42" s="44" t="s">
        <v>117</v>
      </c>
      <c r="C42" s="79"/>
      <c r="D42" s="79"/>
      <c r="E42" s="78"/>
      <c r="F42" s="51">
        <f t="shared" si="1"/>
        <v>0</v>
      </c>
      <c r="G42" s="47">
        <v>934800</v>
      </c>
      <c r="H42" s="47"/>
      <c r="I42" s="47"/>
      <c r="J42" s="47"/>
      <c r="K42" s="51"/>
      <c r="L42" s="51"/>
      <c r="M42" s="47"/>
      <c r="N42" s="47"/>
      <c r="O42" s="47"/>
      <c r="P42" s="51"/>
      <c r="Q42" s="47"/>
      <c r="R42" s="47"/>
      <c r="S42" s="47"/>
      <c r="T42" s="47"/>
      <c r="U42" s="47"/>
      <c r="V42" s="47"/>
      <c r="W42" s="47"/>
      <c r="X42" s="47"/>
      <c r="Y42" s="47"/>
      <c r="Z42" s="46">
        <f>2001200</f>
        <v>2001200</v>
      </c>
      <c r="AA42" s="46"/>
      <c r="AB42" s="46"/>
      <c r="AC42" s="46"/>
      <c r="AD42" s="46"/>
      <c r="AE42" s="51">
        <f t="shared" si="0"/>
        <v>2936000</v>
      </c>
      <c r="AF42" s="22"/>
      <c r="AG42" s="68"/>
    </row>
    <row r="43" spans="1:33" s="21" customFormat="1" ht="33.75" customHeight="1">
      <c r="A43" s="42" t="s">
        <v>3</v>
      </c>
      <c r="B43" s="44" t="s">
        <v>118</v>
      </c>
      <c r="C43" s="79">
        <v>50000</v>
      </c>
      <c r="D43" s="79"/>
      <c r="E43" s="78"/>
      <c r="F43" s="51">
        <f t="shared" si="1"/>
        <v>50000</v>
      </c>
      <c r="G43" s="47">
        <v>5117500</v>
      </c>
      <c r="H43" s="47"/>
      <c r="I43" s="47">
        <v>1290300</v>
      </c>
      <c r="J43" s="47">
        <v>336560</v>
      </c>
      <c r="K43" s="47">
        <f>173380-1080</f>
        <v>172300</v>
      </c>
      <c r="L43" s="47"/>
      <c r="M43" s="47"/>
      <c r="N43" s="47"/>
      <c r="O43" s="47"/>
      <c r="P43" s="51"/>
      <c r="Q43" s="47"/>
      <c r="R43" s="47"/>
      <c r="S43" s="47"/>
      <c r="T43" s="47"/>
      <c r="U43" s="47"/>
      <c r="V43" s="47"/>
      <c r="W43" s="47"/>
      <c r="X43" s="47"/>
      <c r="Y43" s="47"/>
      <c r="Z43" s="46"/>
      <c r="AA43" s="46"/>
      <c r="AB43" s="46"/>
      <c r="AC43" s="46"/>
      <c r="AD43" s="46"/>
      <c r="AE43" s="51">
        <f t="shared" si="0"/>
        <v>6916660</v>
      </c>
      <c r="AF43" s="22"/>
      <c r="AG43" s="68"/>
    </row>
    <row r="44" spans="1:33" s="21" customFormat="1" ht="37.5">
      <c r="A44" s="42" t="s">
        <v>4</v>
      </c>
      <c r="B44" s="44" t="s">
        <v>119</v>
      </c>
      <c r="C44" s="79"/>
      <c r="D44" s="79"/>
      <c r="E44" s="78"/>
      <c r="F44" s="51">
        <f t="shared" si="1"/>
        <v>0</v>
      </c>
      <c r="G44" s="47">
        <v>1024300</v>
      </c>
      <c r="H44" s="47"/>
      <c r="I44" s="47">
        <v>1054700</v>
      </c>
      <c r="J44" s="47">
        <v>85680</v>
      </c>
      <c r="K44" s="47">
        <f>45390-540</f>
        <v>44850</v>
      </c>
      <c r="L44" s="47"/>
      <c r="M44" s="47"/>
      <c r="N44" s="47"/>
      <c r="O44" s="47"/>
      <c r="P44" s="51"/>
      <c r="Q44" s="47"/>
      <c r="R44" s="47"/>
      <c r="S44" s="47"/>
      <c r="T44" s="47"/>
      <c r="U44" s="47"/>
      <c r="V44" s="47"/>
      <c r="W44" s="47"/>
      <c r="X44" s="47"/>
      <c r="Y44" s="47"/>
      <c r="Z44" s="46"/>
      <c r="AA44" s="46"/>
      <c r="AB44" s="46"/>
      <c r="AC44" s="46"/>
      <c r="AD44" s="46"/>
      <c r="AE44" s="51">
        <f t="shared" si="0"/>
        <v>2209530</v>
      </c>
      <c r="AF44" s="22"/>
      <c r="AG44" s="68"/>
    </row>
    <row r="45" spans="1:33" s="21" customFormat="1" ht="37.5">
      <c r="A45" s="42" t="s">
        <v>5</v>
      </c>
      <c r="B45" s="44" t="s">
        <v>120</v>
      </c>
      <c r="C45" s="79"/>
      <c r="D45" s="79"/>
      <c r="E45" s="78"/>
      <c r="F45" s="51">
        <f t="shared" si="1"/>
        <v>0</v>
      </c>
      <c r="G45" s="47">
        <v>1071800</v>
      </c>
      <c r="H45" s="47"/>
      <c r="I45" s="47">
        <v>1518200</v>
      </c>
      <c r="J45" s="47">
        <v>42840</v>
      </c>
      <c r="K45" s="47">
        <f>22695-270</f>
        <v>22425</v>
      </c>
      <c r="L45" s="47"/>
      <c r="M45" s="47"/>
      <c r="N45" s="47"/>
      <c r="O45" s="47"/>
      <c r="P45" s="51"/>
      <c r="Q45" s="47"/>
      <c r="R45" s="47"/>
      <c r="S45" s="47"/>
      <c r="T45" s="47"/>
      <c r="U45" s="47"/>
      <c r="V45" s="47"/>
      <c r="W45" s="47"/>
      <c r="X45" s="47"/>
      <c r="Y45" s="47"/>
      <c r="Z45" s="46"/>
      <c r="AA45" s="46"/>
      <c r="AB45" s="46"/>
      <c r="AC45" s="46"/>
      <c r="AD45" s="46"/>
      <c r="AE45" s="51">
        <f t="shared" si="0"/>
        <v>2655265</v>
      </c>
      <c r="AF45" s="22"/>
      <c r="AG45" s="68"/>
    </row>
    <row r="46" spans="1:33" s="21" customFormat="1" ht="33.75" customHeight="1">
      <c r="A46" s="42" t="s">
        <v>6</v>
      </c>
      <c r="B46" s="44" t="s">
        <v>121</v>
      </c>
      <c r="C46" s="79"/>
      <c r="D46" s="79"/>
      <c r="E46" s="78"/>
      <c r="F46" s="51">
        <f t="shared" si="1"/>
        <v>0</v>
      </c>
      <c r="G46" s="47">
        <v>1994100</v>
      </c>
      <c r="H46" s="47"/>
      <c r="I46" s="47"/>
      <c r="J46" s="47">
        <v>97480</v>
      </c>
      <c r="K46" s="47">
        <f>51290-540</f>
        <v>50750</v>
      </c>
      <c r="L46" s="47"/>
      <c r="M46" s="47"/>
      <c r="N46" s="47"/>
      <c r="O46" s="47"/>
      <c r="P46" s="51"/>
      <c r="Q46" s="47"/>
      <c r="R46" s="47"/>
      <c r="S46" s="47"/>
      <c r="T46" s="47"/>
      <c r="U46" s="47"/>
      <c r="V46" s="47"/>
      <c r="W46" s="47"/>
      <c r="X46" s="47"/>
      <c r="Y46" s="47"/>
      <c r="Z46" s="46"/>
      <c r="AA46" s="46"/>
      <c r="AB46" s="46"/>
      <c r="AC46" s="46"/>
      <c r="AD46" s="46"/>
      <c r="AE46" s="51">
        <f t="shared" si="0"/>
        <v>2142330</v>
      </c>
      <c r="AF46" s="22"/>
      <c r="AG46" s="68"/>
    </row>
    <row r="47" spans="1:33" s="21" customFormat="1" ht="34.5" customHeight="1">
      <c r="A47" s="42" t="s">
        <v>7</v>
      </c>
      <c r="B47" s="44" t="s">
        <v>122</v>
      </c>
      <c r="C47" s="79"/>
      <c r="D47" s="79"/>
      <c r="E47" s="78"/>
      <c r="F47" s="51">
        <f t="shared" si="1"/>
        <v>0</v>
      </c>
      <c r="G47" s="47">
        <v>4509400</v>
      </c>
      <c r="H47" s="47"/>
      <c r="I47" s="47">
        <v>1115100</v>
      </c>
      <c r="J47" s="47"/>
      <c r="K47" s="51"/>
      <c r="L47" s="51"/>
      <c r="M47" s="47"/>
      <c r="N47" s="47"/>
      <c r="O47" s="47"/>
      <c r="P47" s="51"/>
      <c r="Q47" s="47"/>
      <c r="R47" s="47"/>
      <c r="S47" s="47"/>
      <c r="T47" s="47"/>
      <c r="U47" s="47"/>
      <c r="V47" s="47"/>
      <c r="W47" s="47"/>
      <c r="X47" s="47"/>
      <c r="Y47" s="47"/>
      <c r="Z47" s="46"/>
      <c r="AA47" s="46"/>
      <c r="AB47" s="46"/>
      <c r="AC47" s="46"/>
      <c r="AD47" s="46"/>
      <c r="AE47" s="51">
        <f t="shared" si="0"/>
        <v>5624500</v>
      </c>
      <c r="AF47" s="22"/>
      <c r="AG47" s="68"/>
    </row>
    <row r="48" spans="1:33" s="21" customFormat="1" ht="37.5">
      <c r="A48" s="42" t="s">
        <v>8</v>
      </c>
      <c r="B48" s="44" t="s">
        <v>123</v>
      </c>
      <c r="C48" s="79"/>
      <c r="D48" s="79"/>
      <c r="E48" s="78"/>
      <c r="F48" s="51">
        <f t="shared" si="1"/>
        <v>0</v>
      </c>
      <c r="G48" s="47">
        <v>1667000</v>
      </c>
      <c r="H48" s="47"/>
      <c r="I48" s="47"/>
      <c r="J48" s="47"/>
      <c r="K48" s="51"/>
      <c r="L48" s="51"/>
      <c r="M48" s="47"/>
      <c r="N48" s="47"/>
      <c r="O48" s="47"/>
      <c r="P48" s="51"/>
      <c r="Q48" s="47"/>
      <c r="R48" s="47"/>
      <c r="S48" s="47"/>
      <c r="T48" s="47"/>
      <c r="U48" s="47"/>
      <c r="V48" s="47"/>
      <c r="W48" s="47"/>
      <c r="X48" s="47"/>
      <c r="Y48" s="47"/>
      <c r="Z48" s="46">
        <f>1302300</f>
        <v>1302300</v>
      </c>
      <c r="AA48" s="46"/>
      <c r="AB48" s="46"/>
      <c r="AC48" s="46"/>
      <c r="AD48" s="46"/>
      <c r="AE48" s="51">
        <f t="shared" si="0"/>
        <v>2969300</v>
      </c>
      <c r="AF48" s="22"/>
      <c r="AG48" s="68"/>
    </row>
    <row r="49" spans="1:33" s="21" customFormat="1" ht="37.5">
      <c r="A49" s="42" t="s">
        <v>9</v>
      </c>
      <c r="B49" s="44" t="s">
        <v>124</v>
      </c>
      <c r="C49" s="79"/>
      <c r="D49" s="79"/>
      <c r="E49" s="78"/>
      <c r="F49" s="51">
        <f t="shared" si="1"/>
        <v>0</v>
      </c>
      <c r="G49" s="47">
        <v>543000</v>
      </c>
      <c r="H49" s="47"/>
      <c r="I49" s="47"/>
      <c r="J49" s="47"/>
      <c r="K49" s="47"/>
      <c r="L49" s="47"/>
      <c r="M49" s="47"/>
      <c r="N49" s="47"/>
      <c r="O49" s="47"/>
      <c r="P49" s="51"/>
      <c r="Q49" s="47"/>
      <c r="R49" s="47"/>
      <c r="S49" s="47"/>
      <c r="T49" s="47"/>
      <c r="U49" s="47"/>
      <c r="V49" s="47"/>
      <c r="W49" s="47"/>
      <c r="X49" s="47"/>
      <c r="Y49" s="47"/>
      <c r="Z49" s="46"/>
      <c r="AA49" s="46"/>
      <c r="AB49" s="46"/>
      <c r="AC49" s="46"/>
      <c r="AD49" s="46"/>
      <c r="AE49" s="51">
        <f aca="true" t="shared" si="2" ref="AE49:AE80">SUM(G49:AD49)</f>
        <v>543000</v>
      </c>
      <c r="AF49" s="22"/>
      <c r="AG49" s="68"/>
    </row>
    <row r="50" spans="1:33" s="21" customFormat="1" ht="37.5">
      <c r="A50" s="42" t="s">
        <v>10</v>
      </c>
      <c r="B50" s="44" t="s">
        <v>125</v>
      </c>
      <c r="C50" s="79"/>
      <c r="D50" s="79"/>
      <c r="E50" s="78"/>
      <c r="F50" s="51">
        <f t="shared" si="1"/>
        <v>0</v>
      </c>
      <c r="G50" s="47">
        <v>324300</v>
      </c>
      <c r="H50" s="47"/>
      <c r="I50" s="47"/>
      <c r="J50" s="47">
        <v>42840</v>
      </c>
      <c r="K50" s="47">
        <f>22695-270</f>
        <v>22425</v>
      </c>
      <c r="L50" s="47"/>
      <c r="M50" s="47"/>
      <c r="N50" s="47"/>
      <c r="O50" s="47"/>
      <c r="P50" s="51"/>
      <c r="Q50" s="47"/>
      <c r="R50" s="47"/>
      <c r="S50" s="47"/>
      <c r="T50" s="47"/>
      <c r="U50" s="47"/>
      <c r="V50" s="47"/>
      <c r="W50" s="47"/>
      <c r="X50" s="47"/>
      <c r="Y50" s="47"/>
      <c r="Z50" s="46"/>
      <c r="AA50" s="46"/>
      <c r="AB50" s="46"/>
      <c r="AC50" s="46"/>
      <c r="AD50" s="46"/>
      <c r="AE50" s="51">
        <f t="shared" si="2"/>
        <v>389565</v>
      </c>
      <c r="AF50" s="22"/>
      <c r="AG50" s="68"/>
    </row>
    <row r="51" spans="1:33" s="21" customFormat="1" ht="36" customHeight="1">
      <c r="A51" s="42" t="s">
        <v>11</v>
      </c>
      <c r="B51" s="44" t="s">
        <v>126</v>
      </c>
      <c r="C51" s="79"/>
      <c r="D51" s="79"/>
      <c r="E51" s="78"/>
      <c r="F51" s="51">
        <f t="shared" si="1"/>
        <v>0</v>
      </c>
      <c r="G51" s="47">
        <v>2207400</v>
      </c>
      <c r="H51" s="47"/>
      <c r="I51" s="47">
        <v>1105400</v>
      </c>
      <c r="J51" s="47">
        <v>201800</v>
      </c>
      <c r="K51" s="47">
        <f>105150-900</f>
        <v>104250</v>
      </c>
      <c r="L51" s="47"/>
      <c r="M51" s="47"/>
      <c r="N51" s="47"/>
      <c r="O51" s="47"/>
      <c r="P51" s="51"/>
      <c r="Q51" s="47"/>
      <c r="R51" s="47"/>
      <c r="S51" s="47"/>
      <c r="T51" s="47"/>
      <c r="U51" s="47"/>
      <c r="V51" s="47"/>
      <c r="W51" s="47"/>
      <c r="X51" s="47"/>
      <c r="Y51" s="47"/>
      <c r="Z51" s="46"/>
      <c r="AA51" s="46"/>
      <c r="AB51" s="46"/>
      <c r="AC51" s="46"/>
      <c r="AD51" s="46"/>
      <c r="AE51" s="51">
        <f t="shared" si="2"/>
        <v>3618850</v>
      </c>
      <c r="AF51" s="22"/>
      <c r="AG51" s="68"/>
    </row>
    <row r="52" spans="1:33" s="21" customFormat="1" ht="37.5">
      <c r="A52" s="42" t="s">
        <v>12</v>
      </c>
      <c r="B52" s="44" t="s">
        <v>127</v>
      </c>
      <c r="C52" s="79"/>
      <c r="D52" s="79"/>
      <c r="E52" s="78"/>
      <c r="F52" s="51">
        <f t="shared" si="1"/>
        <v>0</v>
      </c>
      <c r="G52" s="47">
        <v>936800</v>
      </c>
      <c r="H52" s="47"/>
      <c r="I52" s="47"/>
      <c r="J52" s="47">
        <v>57120</v>
      </c>
      <c r="K52" s="47">
        <f>30260-360</f>
        <v>29900</v>
      </c>
      <c r="L52" s="47"/>
      <c r="M52" s="47"/>
      <c r="N52" s="47"/>
      <c r="O52" s="47"/>
      <c r="P52" s="51"/>
      <c r="Q52" s="47"/>
      <c r="R52" s="47"/>
      <c r="S52" s="47"/>
      <c r="T52" s="47"/>
      <c r="U52" s="47"/>
      <c r="V52" s="47"/>
      <c r="W52" s="47"/>
      <c r="X52" s="47"/>
      <c r="Y52" s="47"/>
      <c r="Z52" s="46"/>
      <c r="AA52" s="46"/>
      <c r="AB52" s="46"/>
      <c r="AC52" s="46"/>
      <c r="AD52" s="46"/>
      <c r="AE52" s="51">
        <f t="shared" si="2"/>
        <v>1023820</v>
      </c>
      <c r="AF52" s="22"/>
      <c r="AG52" s="68"/>
    </row>
    <row r="53" spans="1:33" s="21" customFormat="1" ht="37.5">
      <c r="A53" s="42" t="s">
        <v>13</v>
      </c>
      <c r="B53" s="44" t="s">
        <v>128</v>
      </c>
      <c r="C53" s="79"/>
      <c r="D53" s="79"/>
      <c r="E53" s="78"/>
      <c r="F53" s="51">
        <f t="shared" si="1"/>
        <v>0</v>
      </c>
      <c r="G53" s="47">
        <v>1058400</v>
      </c>
      <c r="H53" s="47"/>
      <c r="I53" s="47"/>
      <c r="J53" s="47">
        <v>28560</v>
      </c>
      <c r="K53" s="47">
        <f>15130-180</f>
        <v>14950</v>
      </c>
      <c r="L53" s="47"/>
      <c r="M53" s="47"/>
      <c r="N53" s="47"/>
      <c r="O53" s="47"/>
      <c r="P53" s="51"/>
      <c r="Q53" s="47"/>
      <c r="R53" s="47"/>
      <c r="S53" s="47"/>
      <c r="T53" s="47"/>
      <c r="U53" s="47"/>
      <c r="V53" s="47"/>
      <c r="W53" s="47"/>
      <c r="X53" s="47"/>
      <c r="Y53" s="47"/>
      <c r="Z53" s="46"/>
      <c r="AA53" s="46"/>
      <c r="AB53" s="46"/>
      <c r="AC53" s="46"/>
      <c r="AD53" s="46"/>
      <c r="AE53" s="51">
        <f t="shared" si="2"/>
        <v>1101910</v>
      </c>
      <c r="AF53" s="22"/>
      <c r="AG53" s="68"/>
    </row>
    <row r="54" spans="1:33" s="21" customFormat="1" ht="37.5">
      <c r="A54" s="42" t="s">
        <v>14</v>
      </c>
      <c r="B54" s="44" t="s">
        <v>129</v>
      </c>
      <c r="C54" s="79"/>
      <c r="D54" s="79"/>
      <c r="E54" s="78"/>
      <c r="F54" s="51">
        <f t="shared" si="1"/>
        <v>0</v>
      </c>
      <c r="G54" s="47">
        <v>1149000</v>
      </c>
      <c r="H54" s="47"/>
      <c r="I54" s="47"/>
      <c r="J54" s="47">
        <f>99960+7847</f>
        <v>107807</v>
      </c>
      <c r="K54" s="47">
        <f>52955-630</f>
        <v>52325</v>
      </c>
      <c r="L54" s="47"/>
      <c r="M54" s="47"/>
      <c r="N54" s="47"/>
      <c r="O54" s="47"/>
      <c r="P54" s="51"/>
      <c r="Q54" s="47"/>
      <c r="R54" s="47"/>
      <c r="S54" s="47"/>
      <c r="T54" s="47"/>
      <c r="U54" s="47"/>
      <c r="V54" s="47"/>
      <c r="W54" s="47"/>
      <c r="X54" s="47"/>
      <c r="Y54" s="47"/>
      <c r="Z54" s="46">
        <f>2068000</f>
        <v>2068000</v>
      </c>
      <c r="AA54" s="46"/>
      <c r="AB54" s="46"/>
      <c r="AC54" s="46"/>
      <c r="AD54" s="46"/>
      <c r="AE54" s="51">
        <f t="shared" si="2"/>
        <v>3377132</v>
      </c>
      <c r="AF54" s="22"/>
      <c r="AG54" s="68"/>
    </row>
    <row r="55" spans="1:33" s="21" customFormat="1" ht="37.5">
      <c r="A55" s="42" t="s">
        <v>15</v>
      </c>
      <c r="B55" s="44" t="s">
        <v>130</v>
      </c>
      <c r="C55" s="79"/>
      <c r="D55" s="79"/>
      <c r="E55" s="78"/>
      <c r="F55" s="51">
        <f t="shared" si="1"/>
        <v>0</v>
      </c>
      <c r="G55" s="47">
        <v>741000</v>
      </c>
      <c r="H55" s="47"/>
      <c r="I55" s="47"/>
      <c r="J55" s="47">
        <v>14280</v>
      </c>
      <c r="K55" s="47">
        <f>7565-90</f>
        <v>7475</v>
      </c>
      <c r="L55" s="47"/>
      <c r="M55" s="47"/>
      <c r="N55" s="47"/>
      <c r="O55" s="47"/>
      <c r="P55" s="51"/>
      <c r="Q55" s="47"/>
      <c r="R55" s="47"/>
      <c r="S55" s="47"/>
      <c r="T55" s="47"/>
      <c r="U55" s="47"/>
      <c r="V55" s="47"/>
      <c r="W55" s="47"/>
      <c r="X55" s="47"/>
      <c r="Y55" s="47"/>
      <c r="Z55" s="46"/>
      <c r="AA55" s="46"/>
      <c r="AB55" s="46"/>
      <c r="AC55" s="46"/>
      <c r="AD55" s="46"/>
      <c r="AE55" s="51">
        <f t="shared" si="2"/>
        <v>762755</v>
      </c>
      <c r="AF55" s="22"/>
      <c r="AG55" s="68"/>
    </row>
    <row r="56" spans="1:33" s="21" customFormat="1" ht="37.5">
      <c r="A56" s="42" t="s">
        <v>16</v>
      </c>
      <c r="B56" s="44" t="s">
        <v>131</v>
      </c>
      <c r="C56" s="79"/>
      <c r="D56" s="79"/>
      <c r="E56" s="78"/>
      <c r="F56" s="51">
        <f t="shared" si="1"/>
        <v>0</v>
      </c>
      <c r="G56" s="47">
        <v>3572100</v>
      </c>
      <c r="H56" s="47"/>
      <c r="I56" s="47">
        <v>885000</v>
      </c>
      <c r="J56" s="47">
        <f>57120+29297</f>
        <v>86417</v>
      </c>
      <c r="K56" s="47">
        <f>30260-360</f>
        <v>29900</v>
      </c>
      <c r="L56" s="47"/>
      <c r="M56" s="47"/>
      <c r="N56" s="47"/>
      <c r="O56" s="47"/>
      <c r="P56" s="51"/>
      <c r="Q56" s="47"/>
      <c r="R56" s="47"/>
      <c r="S56" s="47"/>
      <c r="T56" s="47"/>
      <c r="U56" s="47"/>
      <c r="V56" s="47"/>
      <c r="W56" s="47"/>
      <c r="X56" s="47"/>
      <c r="Y56" s="47"/>
      <c r="Z56" s="46">
        <f>2182200</f>
        <v>2182200</v>
      </c>
      <c r="AA56" s="46"/>
      <c r="AB56" s="46"/>
      <c r="AC56" s="46"/>
      <c r="AD56" s="46"/>
      <c r="AE56" s="51">
        <f t="shared" si="2"/>
        <v>6755617</v>
      </c>
      <c r="AF56" s="22"/>
      <c r="AG56" s="68"/>
    </row>
    <row r="57" spans="1:33" s="21" customFormat="1" ht="28.5" customHeight="1">
      <c r="A57" s="42" t="s">
        <v>17</v>
      </c>
      <c r="B57" s="44" t="s">
        <v>132</v>
      </c>
      <c r="C57" s="79"/>
      <c r="D57" s="79"/>
      <c r="E57" s="78"/>
      <c r="F57" s="51">
        <f t="shared" si="1"/>
        <v>0</v>
      </c>
      <c r="G57" s="47">
        <v>5044600</v>
      </c>
      <c r="H57" s="47"/>
      <c r="I57" s="47">
        <v>1424100</v>
      </c>
      <c r="J57" s="47">
        <v>548880</v>
      </c>
      <c r="K57" s="47">
        <f>287615-2790</f>
        <v>284825</v>
      </c>
      <c r="L57" s="47"/>
      <c r="M57" s="47"/>
      <c r="N57" s="47"/>
      <c r="O57" s="47"/>
      <c r="P57" s="51"/>
      <c r="Q57" s="47"/>
      <c r="R57" s="47"/>
      <c r="S57" s="47"/>
      <c r="T57" s="47"/>
      <c r="U57" s="47"/>
      <c r="V57" s="47"/>
      <c r="W57" s="47"/>
      <c r="X57" s="47"/>
      <c r="Y57" s="47"/>
      <c r="Z57" s="46">
        <f>1337100</f>
        <v>1337100</v>
      </c>
      <c r="AA57" s="46">
        <v>5000000</v>
      </c>
      <c r="AB57" s="46"/>
      <c r="AC57" s="46"/>
      <c r="AD57" s="46"/>
      <c r="AE57" s="51">
        <f t="shared" si="2"/>
        <v>13639505</v>
      </c>
      <c r="AF57" s="22"/>
      <c r="AG57" s="68"/>
    </row>
    <row r="58" spans="1:33" s="21" customFormat="1" ht="37.5">
      <c r="A58" s="42" t="s">
        <v>18</v>
      </c>
      <c r="B58" s="44" t="s">
        <v>133</v>
      </c>
      <c r="C58" s="79"/>
      <c r="D58" s="79"/>
      <c r="E58" s="78"/>
      <c r="F58" s="51">
        <f t="shared" si="1"/>
        <v>0</v>
      </c>
      <c r="G58" s="47">
        <v>843400</v>
      </c>
      <c r="H58" s="47"/>
      <c r="I58" s="47"/>
      <c r="J58" s="47">
        <v>118600</v>
      </c>
      <c r="K58" s="47">
        <f>61425-450</f>
        <v>60975</v>
      </c>
      <c r="L58" s="47"/>
      <c r="M58" s="47"/>
      <c r="N58" s="47"/>
      <c r="O58" s="47"/>
      <c r="P58" s="51"/>
      <c r="Q58" s="47"/>
      <c r="R58" s="47"/>
      <c r="S58" s="47"/>
      <c r="T58" s="47"/>
      <c r="U58" s="47"/>
      <c r="V58" s="47"/>
      <c r="W58" s="47"/>
      <c r="X58" s="47"/>
      <c r="Y58" s="47"/>
      <c r="Z58" s="46"/>
      <c r="AA58" s="46"/>
      <c r="AB58" s="46">
        <v>300000</v>
      </c>
      <c r="AC58" s="46"/>
      <c r="AD58" s="46"/>
      <c r="AE58" s="51">
        <f t="shared" si="2"/>
        <v>1322975</v>
      </c>
      <c r="AF58" s="22"/>
      <c r="AG58" s="68"/>
    </row>
    <row r="59" spans="1:33" s="21" customFormat="1" ht="37.5">
      <c r="A59" s="42" t="s">
        <v>19</v>
      </c>
      <c r="B59" s="44" t="s">
        <v>134</v>
      </c>
      <c r="C59" s="79"/>
      <c r="D59" s="47">
        <v>142350</v>
      </c>
      <c r="E59" s="47"/>
      <c r="F59" s="51">
        <f t="shared" si="1"/>
        <v>142350</v>
      </c>
      <c r="G59" s="47">
        <v>768900</v>
      </c>
      <c r="H59" s="47"/>
      <c r="I59" s="47"/>
      <c r="J59" s="47"/>
      <c r="K59" s="47"/>
      <c r="L59" s="47"/>
      <c r="M59" s="47"/>
      <c r="N59" s="47"/>
      <c r="O59" s="47"/>
      <c r="P59" s="51"/>
      <c r="Q59" s="47"/>
      <c r="R59" s="47"/>
      <c r="S59" s="47"/>
      <c r="T59" s="47"/>
      <c r="U59" s="47"/>
      <c r="V59" s="47"/>
      <c r="W59" s="47"/>
      <c r="X59" s="47"/>
      <c r="Y59" s="47"/>
      <c r="Z59" s="46"/>
      <c r="AA59" s="46"/>
      <c r="AB59" s="46"/>
      <c r="AC59" s="46"/>
      <c r="AD59" s="46"/>
      <c r="AE59" s="51">
        <f t="shared" si="2"/>
        <v>768900</v>
      </c>
      <c r="AF59" s="22"/>
      <c r="AG59" s="68"/>
    </row>
    <row r="60" spans="1:33" s="21" customFormat="1" ht="37.5">
      <c r="A60" s="42" t="s">
        <v>20</v>
      </c>
      <c r="B60" s="44" t="s">
        <v>135</v>
      </c>
      <c r="C60" s="79"/>
      <c r="D60" s="80"/>
      <c r="E60" s="47"/>
      <c r="F60" s="51">
        <f t="shared" si="1"/>
        <v>0</v>
      </c>
      <c r="G60" s="47">
        <v>776000</v>
      </c>
      <c r="H60" s="47"/>
      <c r="I60" s="47"/>
      <c r="J60" s="47"/>
      <c r="K60" s="47"/>
      <c r="L60" s="47"/>
      <c r="M60" s="47"/>
      <c r="N60" s="47"/>
      <c r="O60" s="47"/>
      <c r="P60" s="51"/>
      <c r="Q60" s="47"/>
      <c r="R60" s="47"/>
      <c r="S60" s="47"/>
      <c r="T60" s="47"/>
      <c r="U60" s="47"/>
      <c r="V60" s="47"/>
      <c r="W60" s="47"/>
      <c r="X60" s="47"/>
      <c r="Y60" s="47"/>
      <c r="Z60" s="46">
        <f>1944800</f>
        <v>1944800</v>
      </c>
      <c r="AA60" s="46"/>
      <c r="AB60" s="46"/>
      <c r="AC60" s="46"/>
      <c r="AD60" s="46"/>
      <c r="AE60" s="51">
        <f t="shared" si="2"/>
        <v>2720800</v>
      </c>
      <c r="AF60" s="22"/>
      <c r="AG60" s="68"/>
    </row>
    <row r="61" spans="1:33" s="21" customFormat="1" ht="37.5">
      <c r="A61" s="42" t="s">
        <v>21</v>
      </c>
      <c r="B61" s="44" t="s">
        <v>136</v>
      </c>
      <c r="C61" s="79"/>
      <c r="D61" s="80"/>
      <c r="E61" s="47"/>
      <c r="F61" s="51">
        <f t="shared" si="1"/>
        <v>0</v>
      </c>
      <c r="G61" s="47">
        <v>4438100</v>
      </c>
      <c r="H61" s="47"/>
      <c r="I61" s="47">
        <v>696500</v>
      </c>
      <c r="J61" s="47">
        <v>242760</v>
      </c>
      <c r="K61" s="47">
        <f>128605-1530</f>
        <v>127075</v>
      </c>
      <c r="L61" s="47"/>
      <c r="M61" s="47"/>
      <c r="N61" s="47"/>
      <c r="O61" s="47"/>
      <c r="P61" s="51"/>
      <c r="Q61" s="47">
        <v>135800</v>
      </c>
      <c r="R61" s="47"/>
      <c r="S61" s="47">
        <v>425400</v>
      </c>
      <c r="T61" s="47"/>
      <c r="U61" s="47"/>
      <c r="V61" s="47"/>
      <c r="W61" s="47"/>
      <c r="X61" s="47"/>
      <c r="Y61" s="47"/>
      <c r="Z61" s="46">
        <f>1400000</f>
        <v>1400000</v>
      </c>
      <c r="AA61" s="46"/>
      <c r="AB61" s="46"/>
      <c r="AC61" s="46"/>
      <c r="AD61" s="46"/>
      <c r="AE61" s="51">
        <f t="shared" si="2"/>
        <v>7465635</v>
      </c>
      <c r="AF61" s="22"/>
      <c r="AG61" s="68"/>
    </row>
    <row r="62" spans="1:33" s="21" customFormat="1" ht="37.5">
      <c r="A62" s="42" t="s">
        <v>22</v>
      </c>
      <c r="B62" s="44" t="s">
        <v>137</v>
      </c>
      <c r="C62" s="79"/>
      <c r="D62" s="80"/>
      <c r="E62" s="47"/>
      <c r="F62" s="51">
        <f t="shared" si="1"/>
        <v>0</v>
      </c>
      <c r="G62" s="47">
        <v>2329200</v>
      </c>
      <c r="H62" s="47"/>
      <c r="I62" s="47"/>
      <c r="J62" s="47"/>
      <c r="K62" s="47"/>
      <c r="L62" s="47"/>
      <c r="M62" s="47"/>
      <c r="N62" s="47"/>
      <c r="O62" s="47"/>
      <c r="P62" s="51"/>
      <c r="Q62" s="47"/>
      <c r="R62" s="47"/>
      <c r="S62" s="47"/>
      <c r="T62" s="47"/>
      <c r="U62" s="47"/>
      <c r="V62" s="47"/>
      <c r="W62" s="47"/>
      <c r="X62" s="47"/>
      <c r="Y62" s="47"/>
      <c r="Z62" s="46"/>
      <c r="AA62" s="46"/>
      <c r="AB62" s="46"/>
      <c r="AC62" s="46"/>
      <c r="AD62" s="46"/>
      <c r="AE62" s="51">
        <f t="shared" si="2"/>
        <v>2329200</v>
      </c>
      <c r="AF62" s="22"/>
      <c r="AG62" s="68"/>
    </row>
    <row r="63" spans="1:33" s="21" customFormat="1" ht="37.5">
      <c r="A63" s="42" t="s">
        <v>23</v>
      </c>
      <c r="B63" s="44" t="s">
        <v>138</v>
      </c>
      <c r="C63" s="79"/>
      <c r="D63" s="80"/>
      <c r="E63" s="47"/>
      <c r="F63" s="51">
        <f t="shared" si="1"/>
        <v>0</v>
      </c>
      <c r="G63" s="47">
        <v>2712600</v>
      </c>
      <c r="H63" s="47"/>
      <c r="I63" s="47">
        <v>1033500</v>
      </c>
      <c r="J63" s="47">
        <v>57120</v>
      </c>
      <c r="K63" s="47">
        <f>30260-360</f>
        <v>29900</v>
      </c>
      <c r="L63" s="47"/>
      <c r="M63" s="47"/>
      <c r="N63" s="47"/>
      <c r="O63" s="47"/>
      <c r="P63" s="51"/>
      <c r="Q63" s="47"/>
      <c r="R63" s="47"/>
      <c r="S63" s="47"/>
      <c r="T63" s="47"/>
      <c r="U63" s="47"/>
      <c r="V63" s="47"/>
      <c r="W63" s="47"/>
      <c r="X63" s="47"/>
      <c r="Y63" s="47"/>
      <c r="Z63" s="46">
        <f>3857600</f>
        <v>3857600</v>
      </c>
      <c r="AA63" s="46"/>
      <c r="AB63" s="46"/>
      <c r="AC63" s="46"/>
      <c r="AD63" s="46"/>
      <c r="AE63" s="51">
        <f t="shared" si="2"/>
        <v>7690720</v>
      </c>
      <c r="AF63" s="22"/>
      <c r="AG63" s="68"/>
    </row>
    <row r="64" spans="1:33" s="21" customFormat="1" ht="37.5">
      <c r="A64" s="42" t="s">
        <v>139</v>
      </c>
      <c r="B64" s="44" t="s">
        <v>140</v>
      </c>
      <c r="C64" s="79"/>
      <c r="D64" s="80"/>
      <c r="E64" s="47"/>
      <c r="F64" s="51">
        <f t="shared" si="1"/>
        <v>0</v>
      </c>
      <c r="G64" s="47">
        <v>544400</v>
      </c>
      <c r="H64" s="47"/>
      <c r="I64" s="47"/>
      <c r="J64" s="47">
        <v>28560</v>
      </c>
      <c r="K64" s="47">
        <f>15130-180</f>
        <v>14950</v>
      </c>
      <c r="L64" s="47"/>
      <c r="M64" s="47"/>
      <c r="N64" s="47"/>
      <c r="O64" s="47"/>
      <c r="P64" s="51"/>
      <c r="Q64" s="47"/>
      <c r="R64" s="47"/>
      <c r="S64" s="47"/>
      <c r="T64" s="47"/>
      <c r="U64" s="47"/>
      <c r="V64" s="47"/>
      <c r="W64" s="47"/>
      <c r="X64" s="47"/>
      <c r="Y64" s="47"/>
      <c r="Z64" s="46"/>
      <c r="AA64" s="46"/>
      <c r="AB64" s="46"/>
      <c r="AC64" s="46"/>
      <c r="AD64" s="46"/>
      <c r="AE64" s="51">
        <f t="shared" si="2"/>
        <v>587910</v>
      </c>
      <c r="AF64" s="22"/>
      <c r="AG64" s="68"/>
    </row>
    <row r="65" spans="1:33" s="21" customFormat="1" ht="37.5">
      <c r="A65" s="42" t="s">
        <v>24</v>
      </c>
      <c r="B65" s="44" t="s">
        <v>141</v>
      </c>
      <c r="C65" s="79"/>
      <c r="D65" s="80"/>
      <c r="E65" s="47"/>
      <c r="F65" s="51">
        <f t="shared" si="1"/>
        <v>0</v>
      </c>
      <c r="G65" s="47">
        <v>1367700</v>
      </c>
      <c r="H65" s="47"/>
      <c r="I65" s="47"/>
      <c r="J65" s="47"/>
      <c r="K65" s="47"/>
      <c r="L65" s="47"/>
      <c r="M65" s="47"/>
      <c r="N65" s="47"/>
      <c r="O65" s="47"/>
      <c r="P65" s="51"/>
      <c r="Q65" s="47"/>
      <c r="R65" s="47"/>
      <c r="S65" s="47"/>
      <c r="T65" s="47"/>
      <c r="U65" s="47"/>
      <c r="V65" s="47"/>
      <c r="W65" s="47"/>
      <c r="X65" s="47"/>
      <c r="Y65" s="47"/>
      <c r="Z65" s="46"/>
      <c r="AA65" s="46"/>
      <c r="AB65" s="46"/>
      <c r="AC65" s="46"/>
      <c r="AD65" s="46"/>
      <c r="AE65" s="51">
        <f t="shared" si="2"/>
        <v>1367700</v>
      </c>
      <c r="AF65" s="22"/>
      <c r="AG65" s="68"/>
    </row>
    <row r="66" spans="1:33" s="21" customFormat="1" ht="37.5">
      <c r="A66" s="42" t="s">
        <v>25</v>
      </c>
      <c r="B66" s="44" t="s">
        <v>142</v>
      </c>
      <c r="C66" s="79"/>
      <c r="D66" s="80"/>
      <c r="E66" s="47"/>
      <c r="F66" s="51">
        <f t="shared" si="1"/>
        <v>0</v>
      </c>
      <c r="G66" s="47">
        <v>2183400</v>
      </c>
      <c r="H66" s="47"/>
      <c r="I66" s="47"/>
      <c r="J66" s="47">
        <v>28560</v>
      </c>
      <c r="K66" s="47">
        <f>15130-180</f>
        <v>14950</v>
      </c>
      <c r="L66" s="47"/>
      <c r="M66" s="47"/>
      <c r="N66" s="47"/>
      <c r="O66" s="47"/>
      <c r="P66" s="51"/>
      <c r="Q66" s="47"/>
      <c r="R66" s="47"/>
      <c r="S66" s="47"/>
      <c r="T66" s="47"/>
      <c r="U66" s="47"/>
      <c r="V66" s="47"/>
      <c r="W66" s="47"/>
      <c r="X66" s="47"/>
      <c r="Y66" s="47"/>
      <c r="Z66" s="46">
        <f>1524000</f>
        <v>1524000</v>
      </c>
      <c r="AA66" s="46"/>
      <c r="AB66" s="46"/>
      <c r="AC66" s="46"/>
      <c r="AD66" s="46"/>
      <c r="AE66" s="51">
        <f t="shared" si="2"/>
        <v>3750910</v>
      </c>
      <c r="AF66" s="22"/>
      <c r="AG66" s="68"/>
    </row>
    <row r="67" spans="1:33" s="21" customFormat="1" ht="37.5">
      <c r="A67" s="42" t="s">
        <v>26</v>
      </c>
      <c r="B67" s="44" t="s">
        <v>143</v>
      </c>
      <c r="C67" s="79"/>
      <c r="D67" s="80"/>
      <c r="E67" s="47">
        <v>77500</v>
      </c>
      <c r="F67" s="51">
        <f t="shared" si="1"/>
        <v>77500</v>
      </c>
      <c r="G67" s="47">
        <v>3601000</v>
      </c>
      <c r="H67" s="47"/>
      <c r="I67" s="47">
        <v>1414600</v>
      </c>
      <c r="J67" s="47">
        <v>161440</v>
      </c>
      <c r="K67" s="47">
        <f>84120-720</f>
        <v>83400</v>
      </c>
      <c r="L67" s="47"/>
      <c r="M67" s="47"/>
      <c r="N67" s="47"/>
      <c r="O67" s="47"/>
      <c r="P67" s="51"/>
      <c r="Q67" s="47"/>
      <c r="R67" s="47"/>
      <c r="S67" s="47"/>
      <c r="T67" s="47"/>
      <c r="U67" s="47"/>
      <c r="V67" s="47"/>
      <c r="W67" s="47"/>
      <c r="X67" s="47"/>
      <c r="Y67" s="47"/>
      <c r="Z67" s="46">
        <f>1420000</f>
        <v>1420000</v>
      </c>
      <c r="AA67" s="46"/>
      <c r="AB67" s="46"/>
      <c r="AC67" s="46"/>
      <c r="AD67" s="46"/>
      <c r="AE67" s="51">
        <f t="shared" si="2"/>
        <v>6680440</v>
      </c>
      <c r="AF67" s="22"/>
      <c r="AG67" s="68"/>
    </row>
    <row r="68" spans="1:33" s="21" customFormat="1" ht="37.5">
      <c r="A68" s="42" t="s">
        <v>27</v>
      </c>
      <c r="B68" s="44" t="s">
        <v>144</v>
      </c>
      <c r="C68" s="79"/>
      <c r="D68" s="79"/>
      <c r="E68" s="78"/>
      <c r="F68" s="51">
        <f t="shared" si="1"/>
        <v>0</v>
      </c>
      <c r="G68" s="47">
        <v>670300</v>
      </c>
      <c r="H68" s="47"/>
      <c r="I68" s="47"/>
      <c r="J68" s="47"/>
      <c r="K68" s="47"/>
      <c r="L68" s="47"/>
      <c r="M68" s="47"/>
      <c r="N68" s="47"/>
      <c r="O68" s="47"/>
      <c r="P68" s="51"/>
      <c r="Q68" s="47"/>
      <c r="R68" s="47"/>
      <c r="S68" s="47"/>
      <c r="T68" s="47"/>
      <c r="U68" s="47"/>
      <c r="V68" s="47"/>
      <c r="W68" s="47"/>
      <c r="X68" s="47"/>
      <c r="Y68" s="47"/>
      <c r="Z68" s="46"/>
      <c r="AA68" s="46"/>
      <c r="AB68" s="46"/>
      <c r="AC68" s="46"/>
      <c r="AD68" s="46"/>
      <c r="AE68" s="51">
        <f t="shared" si="2"/>
        <v>670300</v>
      </c>
      <c r="AF68" s="22"/>
      <c r="AG68" s="68"/>
    </row>
    <row r="69" spans="1:33" s="21" customFormat="1" ht="37.5">
      <c r="A69" s="42" t="s">
        <v>28</v>
      </c>
      <c r="B69" s="44" t="s">
        <v>145</v>
      </c>
      <c r="C69" s="79"/>
      <c r="D69" s="79"/>
      <c r="E69" s="78"/>
      <c r="F69" s="51">
        <f t="shared" si="1"/>
        <v>0</v>
      </c>
      <c r="G69" s="47">
        <v>898100</v>
      </c>
      <c r="H69" s="47"/>
      <c r="I69" s="47"/>
      <c r="J69" s="47"/>
      <c r="K69" s="47"/>
      <c r="L69" s="47"/>
      <c r="M69" s="47"/>
      <c r="N69" s="47"/>
      <c r="O69" s="47"/>
      <c r="P69" s="51"/>
      <c r="Q69" s="47"/>
      <c r="R69" s="47"/>
      <c r="S69" s="47"/>
      <c r="T69" s="47"/>
      <c r="U69" s="47"/>
      <c r="V69" s="47"/>
      <c r="W69" s="47"/>
      <c r="X69" s="47"/>
      <c r="Y69" s="47"/>
      <c r="Z69" s="46">
        <f>1806800</f>
        <v>1806800</v>
      </c>
      <c r="AA69" s="46"/>
      <c r="AB69" s="46"/>
      <c r="AC69" s="46"/>
      <c r="AD69" s="46"/>
      <c r="AE69" s="51">
        <f t="shared" si="2"/>
        <v>2704900</v>
      </c>
      <c r="AF69" s="22"/>
      <c r="AG69" s="68"/>
    </row>
    <row r="70" spans="1:33" s="21" customFormat="1" ht="37.5">
      <c r="A70" s="42" t="s">
        <v>29</v>
      </c>
      <c r="B70" s="44" t="s">
        <v>146</v>
      </c>
      <c r="C70" s="79"/>
      <c r="D70" s="79"/>
      <c r="E70" s="78"/>
      <c r="F70" s="51">
        <f t="shared" si="1"/>
        <v>0</v>
      </c>
      <c r="G70" s="47">
        <v>3115300</v>
      </c>
      <c r="H70" s="47"/>
      <c r="I70" s="47">
        <v>1898699.9999999998</v>
      </c>
      <c r="J70" s="47">
        <v>149640</v>
      </c>
      <c r="K70" s="47">
        <f>78220-720</f>
        <v>77500</v>
      </c>
      <c r="L70" s="47"/>
      <c r="M70" s="47"/>
      <c r="N70" s="47"/>
      <c r="O70" s="47"/>
      <c r="P70" s="51"/>
      <c r="Q70" s="47"/>
      <c r="R70" s="47"/>
      <c r="S70" s="47"/>
      <c r="T70" s="47"/>
      <c r="U70" s="47"/>
      <c r="V70" s="47"/>
      <c r="W70" s="47"/>
      <c r="X70" s="47"/>
      <c r="Y70" s="47"/>
      <c r="Z70" s="46"/>
      <c r="AA70" s="46"/>
      <c r="AB70" s="46"/>
      <c r="AC70" s="46"/>
      <c r="AD70" s="46"/>
      <c r="AE70" s="51">
        <f t="shared" si="2"/>
        <v>5241140</v>
      </c>
      <c r="AF70" s="22"/>
      <c r="AG70" s="68"/>
    </row>
    <row r="71" spans="1:33" s="21" customFormat="1" ht="37.5">
      <c r="A71" s="42" t="s">
        <v>30</v>
      </c>
      <c r="B71" s="44" t="s">
        <v>147</v>
      </c>
      <c r="C71" s="79"/>
      <c r="D71" s="79"/>
      <c r="E71" s="78"/>
      <c r="F71" s="51">
        <f t="shared" si="1"/>
        <v>0</v>
      </c>
      <c r="G71" s="47">
        <v>713900</v>
      </c>
      <c r="H71" s="47"/>
      <c r="I71" s="47"/>
      <c r="J71" s="47"/>
      <c r="K71" s="47"/>
      <c r="L71" s="47"/>
      <c r="M71" s="47"/>
      <c r="N71" s="47"/>
      <c r="O71" s="47"/>
      <c r="P71" s="51"/>
      <c r="Q71" s="47"/>
      <c r="R71" s="47"/>
      <c r="S71" s="47"/>
      <c r="T71" s="47"/>
      <c r="U71" s="47"/>
      <c r="V71" s="47"/>
      <c r="W71" s="47"/>
      <c r="X71" s="47"/>
      <c r="Y71" s="47"/>
      <c r="Z71" s="46"/>
      <c r="AA71" s="46"/>
      <c r="AB71" s="46"/>
      <c r="AC71" s="46"/>
      <c r="AD71" s="46"/>
      <c r="AE71" s="51">
        <f t="shared" si="2"/>
        <v>713900</v>
      </c>
      <c r="AF71" s="22"/>
      <c r="AG71" s="68"/>
    </row>
    <row r="72" spans="1:33" s="21" customFormat="1" ht="37.5">
      <c r="A72" s="42" t="s">
        <v>31</v>
      </c>
      <c r="B72" s="44" t="s">
        <v>148</v>
      </c>
      <c r="C72" s="79"/>
      <c r="D72" s="79"/>
      <c r="E72" s="78"/>
      <c r="F72" s="51">
        <f t="shared" si="1"/>
        <v>0</v>
      </c>
      <c r="G72" s="47">
        <v>594300</v>
      </c>
      <c r="H72" s="47"/>
      <c r="I72" s="47"/>
      <c r="J72" s="47">
        <v>14280</v>
      </c>
      <c r="K72" s="47">
        <f>7565-90</f>
        <v>7475</v>
      </c>
      <c r="L72" s="47"/>
      <c r="M72" s="47"/>
      <c r="N72" s="47"/>
      <c r="O72" s="47"/>
      <c r="P72" s="51"/>
      <c r="Q72" s="47"/>
      <c r="R72" s="47"/>
      <c r="S72" s="47"/>
      <c r="T72" s="47"/>
      <c r="U72" s="47"/>
      <c r="V72" s="47"/>
      <c r="W72" s="47"/>
      <c r="X72" s="47"/>
      <c r="Y72" s="47"/>
      <c r="Z72" s="46">
        <v>2030900</v>
      </c>
      <c r="AA72" s="46"/>
      <c r="AB72" s="46"/>
      <c r="AC72" s="46"/>
      <c r="AD72" s="46"/>
      <c r="AE72" s="51">
        <f t="shared" si="2"/>
        <v>2646955</v>
      </c>
      <c r="AF72" s="22"/>
      <c r="AG72" s="68"/>
    </row>
    <row r="73" spans="1:33" s="21" customFormat="1" ht="37.5">
      <c r="A73" s="42" t="s">
        <v>32</v>
      </c>
      <c r="B73" s="44" t="s">
        <v>149</v>
      </c>
      <c r="C73" s="79"/>
      <c r="D73" s="79"/>
      <c r="E73" s="78"/>
      <c r="F73" s="51">
        <f t="shared" si="1"/>
        <v>0</v>
      </c>
      <c r="G73" s="47">
        <v>1130100</v>
      </c>
      <c r="H73" s="47"/>
      <c r="I73" s="47">
        <v>1286500</v>
      </c>
      <c r="J73" s="47">
        <v>57120</v>
      </c>
      <c r="K73" s="47">
        <f>30260-360</f>
        <v>29900</v>
      </c>
      <c r="L73" s="47"/>
      <c r="M73" s="47"/>
      <c r="N73" s="47"/>
      <c r="O73" s="47"/>
      <c r="P73" s="51"/>
      <c r="Q73" s="47"/>
      <c r="R73" s="47"/>
      <c r="S73" s="47"/>
      <c r="T73" s="47"/>
      <c r="U73" s="47"/>
      <c r="V73" s="47"/>
      <c r="W73" s="47"/>
      <c r="X73" s="47"/>
      <c r="Y73" s="47"/>
      <c r="Z73" s="46"/>
      <c r="AA73" s="46"/>
      <c r="AB73" s="46"/>
      <c r="AC73" s="46"/>
      <c r="AD73" s="46"/>
      <c r="AE73" s="51">
        <f t="shared" si="2"/>
        <v>2503620</v>
      </c>
      <c r="AF73" s="22"/>
      <c r="AG73" s="68"/>
    </row>
    <row r="74" spans="1:33" s="21" customFormat="1" ht="37.5">
      <c r="A74" s="42" t="s">
        <v>33</v>
      </c>
      <c r="B74" s="44" t="s">
        <v>150</v>
      </c>
      <c r="C74" s="79"/>
      <c r="D74" s="79"/>
      <c r="E74" s="78"/>
      <c r="F74" s="51">
        <f t="shared" si="1"/>
        <v>0</v>
      </c>
      <c r="G74" s="47">
        <v>676100</v>
      </c>
      <c r="H74" s="47"/>
      <c r="I74" s="47"/>
      <c r="J74" s="47"/>
      <c r="K74" s="47"/>
      <c r="L74" s="47"/>
      <c r="M74" s="47"/>
      <c r="N74" s="47"/>
      <c r="O74" s="47"/>
      <c r="P74" s="51"/>
      <c r="Q74" s="47"/>
      <c r="R74" s="47"/>
      <c r="S74" s="47"/>
      <c r="T74" s="47"/>
      <c r="U74" s="47"/>
      <c r="V74" s="47"/>
      <c r="W74" s="47"/>
      <c r="X74" s="47"/>
      <c r="Y74" s="47"/>
      <c r="Z74" s="46"/>
      <c r="AA74" s="46"/>
      <c r="AB74" s="46"/>
      <c r="AC74" s="46"/>
      <c r="AD74" s="46"/>
      <c r="AE74" s="51">
        <f t="shared" si="2"/>
        <v>676100</v>
      </c>
      <c r="AF74" s="22"/>
      <c r="AG74" s="68"/>
    </row>
    <row r="75" spans="1:33" s="21" customFormat="1" ht="37.5">
      <c r="A75" s="42" t="s">
        <v>34</v>
      </c>
      <c r="B75" s="44" t="s">
        <v>151</v>
      </c>
      <c r="C75" s="79"/>
      <c r="D75" s="79"/>
      <c r="E75" s="78"/>
      <c r="F75" s="51">
        <f t="shared" si="1"/>
        <v>0</v>
      </c>
      <c r="G75" s="47">
        <v>916500</v>
      </c>
      <c r="H75" s="47"/>
      <c r="I75" s="47"/>
      <c r="J75" s="47"/>
      <c r="K75" s="47"/>
      <c r="L75" s="47"/>
      <c r="M75" s="47"/>
      <c r="N75" s="47"/>
      <c r="O75" s="47"/>
      <c r="P75" s="51"/>
      <c r="Q75" s="47"/>
      <c r="R75" s="47"/>
      <c r="S75" s="47"/>
      <c r="T75" s="47"/>
      <c r="U75" s="47"/>
      <c r="V75" s="47"/>
      <c r="W75" s="47"/>
      <c r="X75" s="47"/>
      <c r="Y75" s="47"/>
      <c r="Z75" s="46"/>
      <c r="AA75" s="46"/>
      <c r="AB75" s="46"/>
      <c r="AC75" s="46"/>
      <c r="AD75" s="46"/>
      <c r="AE75" s="51">
        <f t="shared" si="2"/>
        <v>916500</v>
      </c>
      <c r="AF75" s="22"/>
      <c r="AG75" s="68"/>
    </row>
    <row r="76" spans="1:33" s="21" customFormat="1" ht="37.5">
      <c r="A76" s="42" t="s">
        <v>35</v>
      </c>
      <c r="B76" s="44" t="s">
        <v>152</v>
      </c>
      <c r="C76" s="79"/>
      <c r="D76" s="79"/>
      <c r="E76" s="78"/>
      <c r="F76" s="51">
        <f t="shared" si="1"/>
        <v>0</v>
      </c>
      <c r="G76" s="47">
        <v>575300</v>
      </c>
      <c r="H76" s="47"/>
      <c r="I76" s="47"/>
      <c r="J76" s="47"/>
      <c r="K76" s="47"/>
      <c r="L76" s="47"/>
      <c r="M76" s="47"/>
      <c r="N76" s="47"/>
      <c r="O76" s="47"/>
      <c r="P76" s="51"/>
      <c r="Q76" s="47"/>
      <c r="R76" s="47"/>
      <c r="S76" s="47"/>
      <c r="T76" s="47"/>
      <c r="U76" s="47"/>
      <c r="V76" s="47"/>
      <c r="W76" s="47"/>
      <c r="X76" s="47"/>
      <c r="Y76" s="47"/>
      <c r="Z76" s="46"/>
      <c r="AA76" s="46"/>
      <c r="AB76" s="46"/>
      <c r="AC76" s="46"/>
      <c r="AD76" s="46"/>
      <c r="AE76" s="51">
        <f t="shared" si="2"/>
        <v>575300</v>
      </c>
      <c r="AF76" s="22"/>
      <c r="AG76" s="68"/>
    </row>
    <row r="77" spans="1:33" s="21" customFormat="1" ht="37.5">
      <c r="A77" s="42" t="s">
        <v>36</v>
      </c>
      <c r="B77" s="44" t="s">
        <v>153</v>
      </c>
      <c r="C77" s="79"/>
      <c r="D77" s="79"/>
      <c r="E77" s="78"/>
      <c r="F77" s="51">
        <f t="shared" si="1"/>
        <v>0</v>
      </c>
      <c r="G77" s="47">
        <v>726100</v>
      </c>
      <c r="H77" s="47"/>
      <c r="I77" s="47"/>
      <c r="J77" s="47"/>
      <c r="K77" s="47"/>
      <c r="L77" s="47"/>
      <c r="M77" s="47"/>
      <c r="N77" s="47"/>
      <c r="O77" s="47"/>
      <c r="P77" s="51"/>
      <c r="Q77" s="47"/>
      <c r="R77" s="47"/>
      <c r="S77" s="47"/>
      <c r="T77" s="47"/>
      <c r="U77" s="47"/>
      <c r="V77" s="47"/>
      <c r="W77" s="47"/>
      <c r="X77" s="47"/>
      <c r="Y77" s="47"/>
      <c r="Z77" s="46"/>
      <c r="AA77" s="46"/>
      <c r="AB77" s="46"/>
      <c r="AC77" s="46"/>
      <c r="AD77" s="46"/>
      <c r="AE77" s="51">
        <f t="shared" si="2"/>
        <v>726100</v>
      </c>
      <c r="AF77" s="22"/>
      <c r="AG77" s="68"/>
    </row>
    <row r="78" spans="1:33" s="21" customFormat="1" ht="37.5">
      <c r="A78" s="42" t="s">
        <v>37</v>
      </c>
      <c r="B78" s="44" t="s">
        <v>154</v>
      </c>
      <c r="C78" s="79"/>
      <c r="D78" s="79"/>
      <c r="E78" s="78"/>
      <c r="F78" s="51">
        <f t="shared" si="1"/>
        <v>0</v>
      </c>
      <c r="G78" s="47">
        <v>657700</v>
      </c>
      <c r="H78" s="47"/>
      <c r="I78" s="47"/>
      <c r="J78" s="47"/>
      <c r="K78" s="47"/>
      <c r="L78" s="47"/>
      <c r="M78" s="47"/>
      <c r="N78" s="47"/>
      <c r="O78" s="47"/>
      <c r="P78" s="51"/>
      <c r="Q78" s="47"/>
      <c r="R78" s="47"/>
      <c r="S78" s="47"/>
      <c r="T78" s="47"/>
      <c r="U78" s="47"/>
      <c r="V78" s="47"/>
      <c r="W78" s="47"/>
      <c r="X78" s="47"/>
      <c r="Y78" s="47"/>
      <c r="Z78" s="46"/>
      <c r="AA78" s="46"/>
      <c r="AB78" s="46"/>
      <c r="AC78" s="46"/>
      <c r="AD78" s="46"/>
      <c r="AE78" s="51">
        <f t="shared" si="2"/>
        <v>657700</v>
      </c>
      <c r="AF78" s="22"/>
      <c r="AG78" s="68"/>
    </row>
    <row r="79" spans="1:33" s="21" customFormat="1" ht="37.5">
      <c r="A79" s="42" t="s">
        <v>38</v>
      </c>
      <c r="B79" s="44" t="s">
        <v>155</v>
      </c>
      <c r="C79" s="79"/>
      <c r="D79" s="79"/>
      <c r="E79" s="78"/>
      <c r="F79" s="51">
        <f t="shared" si="1"/>
        <v>0</v>
      </c>
      <c r="G79" s="47">
        <v>347000</v>
      </c>
      <c r="H79" s="47"/>
      <c r="I79" s="47"/>
      <c r="J79" s="47"/>
      <c r="K79" s="47"/>
      <c r="L79" s="47"/>
      <c r="M79" s="47"/>
      <c r="N79" s="47"/>
      <c r="O79" s="47"/>
      <c r="P79" s="51"/>
      <c r="Q79" s="47"/>
      <c r="R79" s="47"/>
      <c r="S79" s="47"/>
      <c r="T79" s="47"/>
      <c r="U79" s="47"/>
      <c r="V79" s="47"/>
      <c r="W79" s="47"/>
      <c r="X79" s="47"/>
      <c r="Y79" s="47"/>
      <c r="Z79" s="46">
        <v>821500</v>
      </c>
      <c r="AA79" s="46"/>
      <c r="AB79" s="46"/>
      <c r="AC79" s="46"/>
      <c r="AD79" s="46"/>
      <c r="AE79" s="51">
        <f t="shared" si="2"/>
        <v>1168500</v>
      </c>
      <c r="AF79" s="22"/>
      <c r="AG79" s="68"/>
    </row>
    <row r="80" spans="1:33" s="21" customFormat="1" ht="37.5" customHeight="1">
      <c r="A80" s="42">
        <v>22540000000</v>
      </c>
      <c r="B80" s="44" t="s">
        <v>156</v>
      </c>
      <c r="C80" s="79"/>
      <c r="D80" s="79"/>
      <c r="E80" s="78"/>
      <c r="F80" s="51">
        <f t="shared" si="1"/>
        <v>0</v>
      </c>
      <c r="G80" s="47">
        <v>1287900</v>
      </c>
      <c r="H80" s="47"/>
      <c r="I80" s="47"/>
      <c r="J80" s="47">
        <v>28560</v>
      </c>
      <c r="K80" s="47">
        <f>15130-180</f>
        <v>14950</v>
      </c>
      <c r="L80" s="51"/>
      <c r="M80" s="47"/>
      <c r="N80" s="47"/>
      <c r="O80" s="47"/>
      <c r="P80" s="51"/>
      <c r="Q80" s="47"/>
      <c r="R80" s="47"/>
      <c r="S80" s="47"/>
      <c r="T80" s="47"/>
      <c r="U80" s="47"/>
      <c r="V80" s="47"/>
      <c r="W80" s="47"/>
      <c r="X80" s="47"/>
      <c r="Y80" s="47"/>
      <c r="Z80" s="46">
        <f>2753100</f>
        <v>2753100</v>
      </c>
      <c r="AA80" s="46"/>
      <c r="AB80" s="46"/>
      <c r="AC80" s="46"/>
      <c r="AD80" s="46"/>
      <c r="AE80" s="51">
        <f t="shared" si="2"/>
        <v>4084510</v>
      </c>
      <c r="AF80" s="22"/>
      <c r="AG80" s="68"/>
    </row>
    <row r="81" spans="1:33" s="21" customFormat="1" ht="37.5">
      <c r="A81" s="42">
        <v>22541000000</v>
      </c>
      <c r="B81" s="44" t="s">
        <v>157</v>
      </c>
      <c r="C81" s="79"/>
      <c r="D81" s="79"/>
      <c r="E81" s="78"/>
      <c r="F81" s="51">
        <f t="shared" si="1"/>
        <v>0</v>
      </c>
      <c r="G81" s="47">
        <v>322000</v>
      </c>
      <c r="H81" s="47"/>
      <c r="I81" s="47"/>
      <c r="J81" s="47">
        <v>14280</v>
      </c>
      <c r="K81" s="47">
        <f>7565-90</f>
        <v>7475</v>
      </c>
      <c r="L81" s="51"/>
      <c r="M81" s="47"/>
      <c r="N81" s="47"/>
      <c r="O81" s="47"/>
      <c r="P81" s="51"/>
      <c r="Q81" s="47"/>
      <c r="R81" s="47"/>
      <c r="S81" s="47"/>
      <c r="T81" s="47"/>
      <c r="U81" s="47"/>
      <c r="V81" s="47"/>
      <c r="W81" s="47"/>
      <c r="X81" s="47"/>
      <c r="Y81" s="47"/>
      <c r="Z81" s="46"/>
      <c r="AA81" s="46"/>
      <c r="AB81" s="46"/>
      <c r="AC81" s="46"/>
      <c r="AD81" s="46"/>
      <c r="AE81" s="51">
        <f aca="true" t="shared" si="3" ref="AE81:AE90">SUM(G81:AD81)</f>
        <v>343755</v>
      </c>
      <c r="AF81" s="22"/>
      <c r="AG81" s="68"/>
    </row>
    <row r="82" spans="1:33" s="21" customFormat="1" ht="37.5">
      <c r="A82" s="42">
        <v>22542000000</v>
      </c>
      <c r="B82" s="44" t="s">
        <v>158</v>
      </c>
      <c r="C82" s="79"/>
      <c r="D82" s="79"/>
      <c r="E82" s="78"/>
      <c r="F82" s="51">
        <f aca="true" t="shared" si="4" ref="F82:F89">SUM(C82:E82)</f>
        <v>0</v>
      </c>
      <c r="G82" s="47">
        <v>400200</v>
      </c>
      <c r="H82" s="47"/>
      <c r="I82" s="47"/>
      <c r="J82" s="47">
        <v>14280</v>
      </c>
      <c r="K82" s="47">
        <f>7565-90</f>
        <v>7475</v>
      </c>
      <c r="L82" s="51"/>
      <c r="M82" s="47"/>
      <c r="N82" s="47"/>
      <c r="O82" s="47"/>
      <c r="P82" s="51"/>
      <c r="Q82" s="47"/>
      <c r="R82" s="47"/>
      <c r="S82" s="47"/>
      <c r="T82" s="47"/>
      <c r="U82" s="47"/>
      <c r="V82" s="47"/>
      <c r="W82" s="47"/>
      <c r="X82" s="47"/>
      <c r="Y82" s="47"/>
      <c r="Z82" s="46"/>
      <c r="AA82" s="46"/>
      <c r="AB82" s="46"/>
      <c r="AC82" s="46"/>
      <c r="AD82" s="46"/>
      <c r="AE82" s="51">
        <f t="shared" si="3"/>
        <v>421955</v>
      </c>
      <c r="AF82" s="22"/>
      <c r="AG82" s="68"/>
    </row>
    <row r="83" spans="1:33" s="21" customFormat="1" ht="37.5">
      <c r="A83" s="42">
        <v>22543000000</v>
      </c>
      <c r="B83" s="44" t="s">
        <v>159</v>
      </c>
      <c r="C83" s="79"/>
      <c r="D83" s="79"/>
      <c r="E83" s="78"/>
      <c r="F83" s="51">
        <f t="shared" si="4"/>
        <v>0</v>
      </c>
      <c r="G83" s="47">
        <v>1377100</v>
      </c>
      <c r="H83" s="47"/>
      <c r="I83" s="47"/>
      <c r="J83" s="47">
        <v>111760</v>
      </c>
      <c r="K83" s="47">
        <f>58855-630</f>
        <v>58225</v>
      </c>
      <c r="L83" s="51"/>
      <c r="M83" s="47"/>
      <c r="N83" s="47"/>
      <c r="O83" s="47"/>
      <c r="P83" s="51"/>
      <c r="Q83" s="47"/>
      <c r="R83" s="47"/>
      <c r="S83" s="47"/>
      <c r="T83" s="47"/>
      <c r="U83" s="47"/>
      <c r="V83" s="47"/>
      <c r="W83" s="47"/>
      <c r="X83" s="47"/>
      <c r="Y83" s="47"/>
      <c r="Z83" s="46"/>
      <c r="AA83" s="46"/>
      <c r="AB83" s="46"/>
      <c r="AC83" s="46"/>
      <c r="AD83" s="46"/>
      <c r="AE83" s="51">
        <f t="shared" si="3"/>
        <v>1547085</v>
      </c>
      <c r="AF83" s="22"/>
      <c r="AG83" s="68"/>
    </row>
    <row r="84" spans="1:33" s="21" customFormat="1" ht="36" customHeight="1">
      <c r="A84" s="42">
        <v>22544000000</v>
      </c>
      <c r="B84" s="44" t="s">
        <v>160</v>
      </c>
      <c r="C84" s="79"/>
      <c r="D84" s="79"/>
      <c r="E84" s="78"/>
      <c r="F84" s="51">
        <f t="shared" si="4"/>
        <v>0</v>
      </c>
      <c r="G84" s="47">
        <v>642100</v>
      </c>
      <c r="H84" s="47"/>
      <c r="I84" s="47"/>
      <c r="J84" s="47">
        <f>26080+21800</f>
        <v>47880</v>
      </c>
      <c r="K84" s="47">
        <f>13465+11800-90</f>
        <v>25175</v>
      </c>
      <c r="L84" s="51"/>
      <c r="M84" s="47"/>
      <c r="N84" s="47"/>
      <c r="O84" s="47"/>
      <c r="P84" s="51"/>
      <c r="Q84" s="47"/>
      <c r="R84" s="47"/>
      <c r="S84" s="47"/>
      <c r="T84" s="47"/>
      <c r="U84" s="47"/>
      <c r="V84" s="47"/>
      <c r="W84" s="47"/>
      <c r="X84" s="47"/>
      <c r="Y84" s="47"/>
      <c r="Z84" s="46">
        <f>1507900</f>
        <v>1507900</v>
      </c>
      <c r="AA84" s="46"/>
      <c r="AB84" s="46"/>
      <c r="AC84" s="46"/>
      <c r="AD84" s="46"/>
      <c r="AE84" s="51">
        <f t="shared" si="3"/>
        <v>2223055</v>
      </c>
      <c r="AF84" s="24"/>
      <c r="AG84" s="68"/>
    </row>
    <row r="85" spans="1:33" s="69" customFormat="1" ht="37.5" customHeight="1">
      <c r="A85" s="35">
        <v>22545000000</v>
      </c>
      <c r="B85" s="45" t="s">
        <v>161</v>
      </c>
      <c r="C85" s="81"/>
      <c r="D85" s="81"/>
      <c r="E85" s="78"/>
      <c r="F85" s="51">
        <f t="shared" si="4"/>
        <v>0</v>
      </c>
      <c r="G85" s="47">
        <v>1769200</v>
      </c>
      <c r="H85" s="47"/>
      <c r="I85" s="47">
        <v>1193500</v>
      </c>
      <c r="J85" s="47">
        <v>504160</v>
      </c>
      <c r="K85" s="47">
        <f>265680-2880</f>
        <v>262800</v>
      </c>
      <c r="L85" s="47"/>
      <c r="M85" s="47"/>
      <c r="N85" s="47"/>
      <c r="O85" s="47"/>
      <c r="P85" s="47"/>
      <c r="Q85" s="47"/>
      <c r="R85" s="47"/>
      <c r="S85" s="47"/>
      <c r="T85" s="47"/>
      <c r="U85" s="47">
        <v>24424</v>
      </c>
      <c r="V85" s="47">
        <v>27968</v>
      </c>
      <c r="W85" s="47">
        <v>28942</v>
      </c>
      <c r="X85" s="47"/>
      <c r="Y85" s="47"/>
      <c r="Z85" s="46"/>
      <c r="AA85" s="46"/>
      <c r="AB85" s="46"/>
      <c r="AC85" s="46"/>
      <c r="AD85" s="46"/>
      <c r="AE85" s="51">
        <f t="shared" si="3"/>
        <v>3810994</v>
      </c>
      <c r="AF85" s="22"/>
      <c r="AG85" s="68"/>
    </row>
    <row r="86" spans="1:33" s="69" customFormat="1" ht="35.25" customHeight="1">
      <c r="A86" s="35">
        <v>22546000000</v>
      </c>
      <c r="B86" s="45" t="s">
        <v>162</v>
      </c>
      <c r="C86" s="81"/>
      <c r="D86" s="81"/>
      <c r="E86" s="78"/>
      <c r="F86" s="51">
        <f t="shared" si="4"/>
        <v>0</v>
      </c>
      <c r="G86" s="47">
        <v>1644100</v>
      </c>
      <c r="H86" s="47"/>
      <c r="I86" s="47">
        <v>965800</v>
      </c>
      <c r="J86" s="47">
        <v>388720</v>
      </c>
      <c r="K86" s="47">
        <f>200310-1260</f>
        <v>199050</v>
      </c>
      <c r="L86" s="47"/>
      <c r="M86" s="47"/>
      <c r="N86" s="47"/>
      <c r="O86" s="47"/>
      <c r="P86" s="47"/>
      <c r="Q86" s="47">
        <v>146400</v>
      </c>
      <c r="R86" s="47"/>
      <c r="S86" s="47">
        <v>448300</v>
      </c>
      <c r="T86" s="47"/>
      <c r="U86" s="47">
        <v>113237</v>
      </c>
      <c r="V86" s="47">
        <v>24424</v>
      </c>
      <c r="W86" s="47">
        <v>13156</v>
      </c>
      <c r="X86" s="47"/>
      <c r="Y86" s="47"/>
      <c r="Z86" s="46"/>
      <c r="AA86" s="46"/>
      <c r="AB86" s="46"/>
      <c r="AC86" s="46"/>
      <c r="AD86" s="46"/>
      <c r="AE86" s="51">
        <f t="shared" si="3"/>
        <v>3943187</v>
      </c>
      <c r="AF86" s="22"/>
      <c r="AG86" s="68"/>
    </row>
    <row r="87" spans="1:33" s="23" customFormat="1" ht="37.5">
      <c r="A87" s="35">
        <v>22547000000</v>
      </c>
      <c r="B87" s="44" t="s">
        <v>163</v>
      </c>
      <c r="C87" s="79"/>
      <c r="D87" s="79"/>
      <c r="E87" s="82"/>
      <c r="F87" s="51">
        <f t="shared" si="4"/>
        <v>0</v>
      </c>
      <c r="G87" s="47">
        <v>682800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70"/>
      <c r="AA87" s="70"/>
      <c r="AB87" s="70"/>
      <c r="AC87" s="70"/>
      <c r="AD87" s="70"/>
      <c r="AE87" s="51">
        <f t="shared" si="3"/>
        <v>682800</v>
      </c>
      <c r="AF87" s="24"/>
      <c r="AG87" s="25"/>
    </row>
    <row r="88" spans="1:33" s="60" customFormat="1" ht="23.25">
      <c r="A88" s="35">
        <v>22100000000</v>
      </c>
      <c r="B88" s="44" t="s">
        <v>165</v>
      </c>
      <c r="C88" s="79"/>
      <c r="D88" s="79"/>
      <c r="E88" s="82"/>
      <c r="F88" s="51">
        <f t="shared" si="4"/>
        <v>0</v>
      </c>
      <c r="G88" s="47"/>
      <c r="H88" s="47">
        <v>27589200</v>
      </c>
      <c r="I88" s="51"/>
      <c r="J88" s="47">
        <v>2522900</v>
      </c>
      <c r="K88" s="51"/>
      <c r="L88" s="51"/>
      <c r="M88" s="51"/>
      <c r="N88" s="51"/>
      <c r="O88" s="51"/>
      <c r="P88" s="51">
        <v>4289616</v>
      </c>
      <c r="Q88" s="51"/>
      <c r="R88" s="51"/>
      <c r="S88" s="51"/>
      <c r="T88" s="51"/>
      <c r="U88" s="51"/>
      <c r="V88" s="51"/>
      <c r="W88" s="51"/>
      <c r="X88" s="51"/>
      <c r="Y88" s="46">
        <v>13394000</v>
      </c>
      <c r="Z88" s="70"/>
      <c r="AA88" s="70"/>
      <c r="AB88" s="70"/>
      <c r="AC88" s="70"/>
      <c r="AD88" s="70"/>
      <c r="AE88" s="51">
        <f t="shared" si="3"/>
        <v>47795716</v>
      </c>
      <c r="AF88" s="58"/>
      <c r="AG88" s="59"/>
    </row>
    <row r="89" spans="1:33" s="60" customFormat="1" ht="23.25">
      <c r="A89" s="35"/>
      <c r="B89" s="44" t="s">
        <v>166</v>
      </c>
      <c r="C89" s="79"/>
      <c r="D89" s="79"/>
      <c r="E89" s="82"/>
      <c r="F89" s="51">
        <f t="shared" si="4"/>
        <v>0</v>
      </c>
      <c r="G89" s="47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46">
        <v>694400</v>
      </c>
      <c r="Y89" s="46"/>
      <c r="Z89" s="70"/>
      <c r="AA89" s="70"/>
      <c r="AB89" s="70"/>
      <c r="AC89" s="70"/>
      <c r="AD89" s="46">
        <f>137300+1515900</f>
        <v>1653200</v>
      </c>
      <c r="AE89" s="51">
        <f t="shared" si="3"/>
        <v>2347600</v>
      </c>
      <c r="AF89" s="58"/>
      <c r="AG89" s="59"/>
    </row>
    <row r="90" spans="1:43" s="53" customFormat="1" ht="27.75" customHeight="1">
      <c r="A90" s="114" t="s">
        <v>43</v>
      </c>
      <c r="B90" s="114"/>
      <c r="C90" s="51">
        <f>SUM(C17:C89)</f>
        <v>50000</v>
      </c>
      <c r="D90" s="51">
        <f>SUM(D17:D89)</f>
        <v>142350</v>
      </c>
      <c r="E90" s="51">
        <f>SUM(E17:E89)</f>
        <v>77500</v>
      </c>
      <c r="F90" s="51">
        <f>SUM(F17:F89)</f>
        <v>269850</v>
      </c>
      <c r="G90" s="51">
        <f>SUM(G17:G89)</f>
        <v>183304500</v>
      </c>
      <c r="H90" s="51">
        <f aca="true" t="shared" si="5" ref="H90:AD90">SUM(H17:H89)</f>
        <v>27589200</v>
      </c>
      <c r="I90" s="51">
        <f t="shared" si="5"/>
        <v>33382000</v>
      </c>
      <c r="J90" s="51">
        <f t="shared" si="5"/>
        <v>15402460</v>
      </c>
      <c r="K90" s="51">
        <f t="shared" si="5"/>
        <v>6666975</v>
      </c>
      <c r="L90" s="51">
        <f t="shared" si="5"/>
        <v>4483000</v>
      </c>
      <c r="M90" s="51">
        <f t="shared" si="5"/>
        <v>0</v>
      </c>
      <c r="N90" s="51">
        <f t="shared" si="5"/>
        <v>0</v>
      </c>
      <c r="O90" s="51">
        <f t="shared" si="5"/>
        <v>0</v>
      </c>
      <c r="P90" s="51">
        <f t="shared" si="5"/>
        <v>4289616</v>
      </c>
      <c r="Q90" s="51">
        <f t="shared" si="5"/>
        <v>7933000</v>
      </c>
      <c r="R90" s="51">
        <f t="shared" si="5"/>
        <v>2148400</v>
      </c>
      <c r="S90" s="51">
        <f t="shared" si="5"/>
        <v>24573500</v>
      </c>
      <c r="T90" s="51">
        <f t="shared" si="5"/>
        <v>84400</v>
      </c>
      <c r="U90" s="51">
        <f t="shared" si="5"/>
        <v>691635</v>
      </c>
      <c r="V90" s="51">
        <f t="shared" si="5"/>
        <v>742645</v>
      </c>
      <c r="W90" s="51">
        <f t="shared" si="5"/>
        <v>876160</v>
      </c>
      <c r="X90" s="51">
        <f t="shared" si="5"/>
        <v>694400</v>
      </c>
      <c r="Y90" s="51">
        <f t="shared" si="5"/>
        <v>13394000</v>
      </c>
      <c r="Z90" s="51">
        <f t="shared" si="5"/>
        <v>44423000</v>
      </c>
      <c r="AA90" s="51">
        <f t="shared" si="5"/>
        <v>6857000</v>
      </c>
      <c r="AB90" s="51">
        <f t="shared" si="5"/>
        <v>300000</v>
      </c>
      <c r="AC90" s="51">
        <f t="shared" si="5"/>
        <v>732224</v>
      </c>
      <c r="AD90" s="51">
        <f t="shared" si="5"/>
        <v>1653200</v>
      </c>
      <c r="AE90" s="51">
        <f t="shared" si="3"/>
        <v>380221315</v>
      </c>
      <c r="AF90" s="52">
        <f>SUM(G90:AD90)</f>
        <v>380221315</v>
      </c>
      <c r="AI90" s="54"/>
      <c r="AJ90" s="54"/>
      <c r="AQ90" s="55"/>
    </row>
    <row r="91" spans="1:32" s="15" customFormat="1" ht="15.75">
      <c r="A91" s="36"/>
      <c r="B91" s="39"/>
      <c r="C91" s="39"/>
      <c r="D91" s="39"/>
      <c r="G91" s="16"/>
      <c r="H91" s="17"/>
      <c r="I91" s="16"/>
      <c r="J91" s="16"/>
      <c r="K91" s="16"/>
      <c r="L91" s="16"/>
      <c r="M91" s="16"/>
      <c r="N91" s="16"/>
      <c r="O91" s="16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6"/>
      <c r="AF91" s="38">
        <f>AE90-AF90</f>
        <v>0</v>
      </c>
    </row>
    <row r="92" spans="1:31" s="9" customFormat="1" ht="25.5" customHeight="1">
      <c r="A92" s="75"/>
      <c r="B92" s="76"/>
      <c r="C92" s="76"/>
      <c r="D92" s="76"/>
      <c r="E92" s="9">
        <v>77500</v>
      </c>
      <c r="F92" s="9">
        <v>77500</v>
      </c>
      <c r="G92" s="9">
        <v>183304500</v>
      </c>
      <c r="H92" s="9">
        <v>27589200</v>
      </c>
      <c r="I92" s="9">
        <v>33382000</v>
      </c>
      <c r="J92" s="9">
        <v>12879560</v>
      </c>
      <c r="K92" s="9">
        <v>6728305</v>
      </c>
      <c r="L92" s="9">
        <v>4483000</v>
      </c>
      <c r="M92" s="9">
        <v>0</v>
      </c>
      <c r="N92" s="9">
        <v>0</v>
      </c>
      <c r="O92" s="9">
        <v>0</v>
      </c>
      <c r="P92" s="9">
        <v>4289616</v>
      </c>
      <c r="Q92" s="9">
        <v>7933000</v>
      </c>
      <c r="R92" s="9">
        <v>2148400</v>
      </c>
      <c r="S92" s="9">
        <v>0</v>
      </c>
      <c r="T92" s="9">
        <v>84400</v>
      </c>
      <c r="U92" s="9">
        <v>691635</v>
      </c>
      <c r="V92" s="9">
        <v>742645</v>
      </c>
      <c r="W92" s="9">
        <v>876160</v>
      </c>
      <c r="X92" s="9">
        <v>694400</v>
      </c>
      <c r="Y92" s="9">
        <v>13394000</v>
      </c>
      <c r="Z92" s="9">
        <v>56574200</v>
      </c>
      <c r="AC92" s="9">
        <v>732224</v>
      </c>
      <c r="AD92" s="9">
        <v>1653200</v>
      </c>
      <c r="AE92" s="9">
        <v>595555183</v>
      </c>
    </row>
    <row r="93" spans="5:32" ht="15">
      <c r="E93" s="29">
        <f>E90-E92</f>
        <v>0</v>
      </c>
      <c r="F93" s="29">
        <f>F90-F92</f>
        <v>192350</v>
      </c>
      <c r="G93" s="29">
        <f>G90-G92</f>
        <v>0</v>
      </c>
      <c r="H93" s="29">
        <f>H90-H92</f>
        <v>0</v>
      </c>
      <c r="I93" s="29">
        <f>I90-I92</f>
        <v>0</v>
      </c>
      <c r="J93" s="29">
        <f aca="true" t="shared" si="6" ref="J93:AE93">J90-J92</f>
        <v>2522900</v>
      </c>
      <c r="K93" s="29">
        <f t="shared" si="6"/>
        <v>-61330</v>
      </c>
      <c r="L93" s="29">
        <f t="shared" si="6"/>
        <v>0</v>
      </c>
      <c r="M93" s="29">
        <f t="shared" si="6"/>
        <v>0</v>
      </c>
      <c r="N93" s="29">
        <f t="shared" si="6"/>
        <v>0</v>
      </c>
      <c r="O93" s="29">
        <f t="shared" si="6"/>
        <v>0</v>
      </c>
      <c r="P93" s="29">
        <f t="shared" si="6"/>
        <v>0</v>
      </c>
      <c r="Q93" s="29">
        <f t="shared" si="6"/>
        <v>0</v>
      </c>
      <c r="R93" s="29">
        <f t="shared" si="6"/>
        <v>0</v>
      </c>
      <c r="S93" s="29">
        <f t="shared" si="6"/>
        <v>24573500</v>
      </c>
      <c r="T93" s="29">
        <f t="shared" si="6"/>
        <v>0</v>
      </c>
      <c r="U93" s="29">
        <f t="shared" si="6"/>
        <v>0</v>
      </c>
      <c r="V93" s="29">
        <f t="shared" si="6"/>
        <v>0</v>
      </c>
      <c r="W93" s="29">
        <f t="shared" si="6"/>
        <v>0</v>
      </c>
      <c r="X93" s="29">
        <f t="shared" si="6"/>
        <v>0</v>
      </c>
      <c r="Y93" s="29">
        <f t="shared" si="6"/>
        <v>0</v>
      </c>
      <c r="Z93" s="29">
        <f t="shared" si="6"/>
        <v>-12151200</v>
      </c>
      <c r="AA93" s="29">
        <f>AA90-AA92</f>
        <v>6857000</v>
      </c>
      <c r="AB93" s="29">
        <f>AB90-AB92</f>
        <v>300000</v>
      </c>
      <c r="AC93" s="29">
        <f t="shared" si="6"/>
        <v>0</v>
      </c>
      <c r="AD93" s="29">
        <f t="shared" si="6"/>
        <v>0</v>
      </c>
      <c r="AE93" s="29">
        <f t="shared" si="6"/>
        <v>-215333868</v>
      </c>
      <c r="AF93" s="4"/>
    </row>
    <row r="94" spans="7:32" ht="15"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73"/>
      <c r="AF94" s="4"/>
    </row>
    <row r="95" spans="7:32" ht="15" hidden="1"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s="3" customFormat="1" ht="39" customHeight="1" hidden="1">
      <c r="A96" s="72"/>
      <c r="B96" s="40"/>
      <c r="C96" s="40"/>
      <c r="D96" s="4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6"/>
      <c r="AF96" s="6"/>
    </row>
    <row r="97" spans="1:32" s="3" customFormat="1" ht="33" customHeight="1" hidden="1">
      <c r="A97" s="37"/>
      <c r="B97" s="40"/>
      <c r="C97" s="40"/>
      <c r="D97" s="4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6"/>
      <c r="AF97" s="7"/>
    </row>
    <row r="98" spans="1:32" ht="18.75" hidden="1">
      <c r="A98" s="37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7:32" ht="15" hidden="1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29"/>
      <c r="AF99" s="4"/>
    </row>
    <row r="100" spans="7:42" ht="26.25" customHeight="1">
      <c r="G100" s="8"/>
      <c r="H100" s="4"/>
      <c r="I100" s="20"/>
      <c r="J100" s="20" t="s">
        <v>63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71" t="e">
        <f>Z90+#REF!+#REF!+#REF!+#REF!+#REF!+#REF!+T90</f>
        <v>#REF!</v>
      </c>
      <c r="AF100" s="4"/>
      <c r="AH100" s="74"/>
      <c r="AJ100" s="74"/>
      <c r="AP100" s="74"/>
    </row>
    <row r="101" spans="9:31" ht="12.75">
      <c r="I101" s="1" t="s">
        <v>63</v>
      </c>
      <c r="AE101" s="13"/>
    </row>
    <row r="102" spans="7:31" ht="24" customHeight="1">
      <c r="G102" s="74"/>
      <c r="I102" s="74"/>
      <c r="J102" s="74"/>
      <c r="AE102" s="14"/>
    </row>
    <row r="108" spans="8:30" ht="18">
      <c r="H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8:30" ht="18">
      <c r="H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8:30" ht="18">
      <c r="H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8:30" ht="18">
      <c r="H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8:30" ht="18">
      <c r="H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</sheetData>
  <sheetProtection/>
  <mergeCells count="58">
    <mergeCell ref="A90:B90"/>
    <mergeCell ref="Q12:Q13"/>
    <mergeCell ref="G12:G13"/>
    <mergeCell ref="Q3:U3"/>
    <mergeCell ref="Q4:U4"/>
    <mergeCell ref="A5:L5"/>
    <mergeCell ref="B9:B15"/>
    <mergeCell ref="K12:K13"/>
    <mergeCell ref="A9:A15"/>
    <mergeCell ref="U12:U13"/>
    <mergeCell ref="M12:M13"/>
    <mergeCell ref="T12:T13"/>
    <mergeCell ref="R14:AD14"/>
    <mergeCell ref="D11:D13"/>
    <mergeCell ref="E11:E13"/>
    <mergeCell ref="I2:K2"/>
    <mergeCell ref="I3:K3"/>
    <mergeCell ref="I4:K4"/>
    <mergeCell ref="L14:Q14"/>
    <mergeCell ref="P12:P13"/>
    <mergeCell ref="A6:B6"/>
    <mergeCell ref="A7:B7"/>
    <mergeCell ref="Q2:U2"/>
    <mergeCell ref="O12:O13"/>
    <mergeCell ref="G10:G11"/>
    <mergeCell ref="I12:I13"/>
    <mergeCell ref="J12:J13"/>
    <mergeCell ref="C11:C13"/>
    <mergeCell ref="X12:X13"/>
    <mergeCell ref="G14:K14"/>
    <mergeCell ref="L12:L13"/>
    <mergeCell ref="H12:H13"/>
    <mergeCell ref="AD12:AD13"/>
    <mergeCell ref="AB12:AB13"/>
    <mergeCell ref="N12:N13"/>
    <mergeCell ref="Y12:Y13"/>
    <mergeCell ref="H10:K10"/>
    <mergeCell ref="G9:K9"/>
    <mergeCell ref="Z12:Z13"/>
    <mergeCell ref="W12:W13"/>
    <mergeCell ref="V12:V13"/>
    <mergeCell ref="R12:R13"/>
    <mergeCell ref="L11:V11"/>
    <mergeCell ref="W11:X11"/>
    <mergeCell ref="H11:K11"/>
    <mergeCell ref="C14:E14"/>
    <mergeCell ref="AE10:AE15"/>
    <mergeCell ref="AC12:AC13"/>
    <mergeCell ref="Y11:AD11"/>
    <mergeCell ref="S12:S13"/>
    <mergeCell ref="AA12:AA13"/>
    <mergeCell ref="F10:F15"/>
    <mergeCell ref="C9:F9"/>
    <mergeCell ref="C10:E10"/>
    <mergeCell ref="W9:AE9"/>
    <mergeCell ref="L10:V10"/>
    <mergeCell ref="L9:V9"/>
    <mergeCell ref="W10:AD10"/>
  </mergeCells>
  <printOptions horizontalCentered="1"/>
  <pageMargins left="0.5905511811023623" right="0.1968503937007874" top="0.1968503937007874" bottom="0.1968503937007874" header="0" footer="0"/>
  <pageSetup fitToWidth="4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2020-04-28T08:18:34Z</cp:lastPrinted>
  <dcterms:created xsi:type="dcterms:W3CDTF">1996-10-08T23:32:33Z</dcterms:created>
  <dcterms:modified xsi:type="dcterms:W3CDTF">2020-04-28T08:18:41Z</dcterms:modified>
  <cp:category/>
  <cp:version/>
  <cp:contentType/>
  <cp:contentStatus/>
</cp:coreProperties>
</file>