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firstSheet="4" activeTab="4"/>
  </bookViews>
  <sheets>
    <sheet name="штатний без усіх складових (1)" sheetId="1" r:id="rId1"/>
    <sheet name="усі складові" sheetId="2" r:id="rId2"/>
    <sheet name="штатний без усіх складових (2)" sheetId="3" r:id="rId3"/>
    <sheet name=".Штатний на 01.01.2021" sheetId="4" r:id="rId4"/>
    <sheet name="змін без заступ.01.06.2021 (2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<sst xmlns="http://schemas.openxmlformats.org/spreadsheetml/2006/main" count="518" uniqueCount="204">
  <si>
    <t>№п/п</t>
  </si>
  <si>
    <t>Посади</t>
  </si>
  <si>
    <t>Кількість штатних одиниць</t>
  </si>
  <si>
    <t>Посадовий оклад</t>
  </si>
  <si>
    <t>Надбавки</t>
  </si>
  <si>
    <t xml:space="preserve">Місячний  ФЗП                </t>
  </si>
  <si>
    <t>Річний ФЗП</t>
  </si>
  <si>
    <t>за почесне звання</t>
  </si>
  <si>
    <t>по контракту</t>
  </si>
  <si>
    <t>за класність</t>
  </si>
  <si>
    <t xml:space="preserve">за вислугу років </t>
  </si>
  <si>
    <t xml:space="preserve">за ненормований робочий час </t>
  </si>
  <si>
    <t>За використання дезінфікуючих засобів</t>
  </si>
  <si>
    <t>Директор</t>
  </si>
  <si>
    <t>ВСЬОГО:</t>
  </si>
  <si>
    <t>Завідуючий відділом</t>
  </si>
  <si>
    <t xml:space="preserve">Провідний методист </t>
  </si>
  <si>
    <t>Головний бухгалтер</t>
  </si>
  <si>
    <t>Водій ГАЗ 2410</t>
  </si>
  <si>
    <t>Сторож</t>
  </si>
  <si>
    <t>Прибиральниця</t>
  </si>
  <si>
    <t>Двірник</t>
  </si>
  <si>
    <t>РАЗОМ:</t>
  </si>
  <si>
    <t>Доплати</t>
  </si>
  <si>
    <t>ШТАТНИЙ РОЗПИС</t>
  </si>
  <si>
    <t xml:space="preserve">Доплата до мінімальної </t>
  </si>
  <si>
    <t>Провідний економіст</t>
  </si>
  <si>
    <t>І. Відділ науково-методичної роботи  та народної творчості</t>
  </si>
  <si>
    <t>V. Відділ маркетингу  та креативних індустрій</t>
  </si>
  <si>
    <t>Водій</t>
  </si>
  <si>
    <t>Різноробочий</t>
  </si>
  <si>
    <t>Науковий співробітник</t>
  </si>
  <si>
    <t>Комірник</t>
  </si>
  <si>
    <t>х</t>
  </si>
  <si>
    <t xml:space="preserve">Провідний методист  </t>
  </si>
  <si>
    <t>Заступник директора з питань охорони культурної спадщини</t>
  </si>
  <si>
    <t>ІІ. Планово-фінансовий відділ</t>
  </si>
  <si>
    <t xml:space="preserve">Провідний бухгалтер </t>
  </si>
  <si>
    <t>ІІІ. Навчально-методичний відділ  мистецьких навчальних закладів  та підвищення  кваліфікації</t>
  </si>
  <si>
    <t xml:space="preserve">Старший  науковий  співробітник </t>
  </si>
  <si>
    <t xml:space="preserve"> Хмельницького обласного науково-методичного центру культури і  мистецтва      </t>
  </si>
  <si>
    <t xml:space="preserve">Надбавки </t>
  </si>
  <si>
    <t>№з/п</t>
  </si>
  <si>
    <t>Штатний  розпис</t>
  </si>
  <si>
    <t xml:space="preserve">оклад </t>
  </si>
  <si>
    <t xml:space="preserve">За почесне звання </t>
  </si>
  <si>
    <t xml:space="preserve">По контракту </t>
  </si>
  <si>
    <t xml:space="preserve">За класність </t>
  </si>
  <si>
    <t xml:space="preserve">За вислугу років </t>
  </si>
  <si>
    <t xml:space="preserve">За ненормований робочий день </t>
  </si>
  <si>
    <t>За  шкідливі умови</t>
  </si>
  <si>
    <t>Разом</t>
  </si>
  <si>
    <t>Всього</t>
  </si>
  <si>
    <t>01.01.2019р.</t>
  </si>
  <si>
    <t>Оплата праці  по проведенні навчання з підвищення кваліфікації (згідно  кошторисів)</t>
  </si>
  <si>
    <t xml:space="preserve">Доплата  до мінімальної заробітної плати 1-12розряд                                                   </t>
  </si>
  <si>
    <t>Заступник директора з питань  культурно-мистецької освіти</t>
  </si>
  <si>
    <t>Юрисконсульт</t>
  </si>
  <si>
    <t>тирифний розряд</t>
  </si>
  <si>
    <t>VI. Редакційно-видавничий відділ</t>
  </si>
  <si>
    <t>VII. Відділ концертно-технічного забезпечення</t>
  </si>
  <si>
    <t>VIII. Господарський відділ</t>
  </si>
  <si>
    <t xml:space="preserve">Секретар </t>
  </si>
  <si>
    <t>Головний бухгалтер                                          Г.М.Мельник</t>
  </si>
  <si>
    <t>Директор                                                              А.Б.Клименко</t>
  </si>
  <si>
    <t>IV. Відділ охорони пам'яток</t>
  </si>
  <si>
    <t>Завідуючий віділом</t>
  </si>
  <si>
    <t>на  1 січня  2020 року</t>
  </si>
  <si>
    <t xml:space="preserve">Клименко </t>
  </si>
  <si>
    <t>Стан</t>
  </si>
  <si>
    <t>Шпаковський</t>
  </si>
  <si>
    <t xml:space="preserve">Соколов </t>
  </si>
  <si>
    <t xml:space="preserve">Мержвинський </t>
  </si>
  <si>
    <t xml:space="preserve">Сосніна  </t>
  </si>
  <si>
    <t xml:space="preserve">Севетнмк </t>
  </si>
  <si>
    <t xml:space="preserve">Петрова </t>
  </si>
  <si>
    <t xml:space="preserve">Пиріжок </t>
  </si>
  <si>
    <t xml:space="preserve">Дяконова </t>
  </si>
  <si>
    <t xml:space="preserve">Бохонько </t>
  </si>
  <si>
    <t>Ваканці</t>
  </si>
  <si>
    <t xml:space="preserve">Москалішина </t>
  </si>
  <si>
    <t xml:space="preserve">Ваканція </t>
  </si>
  <si>
    <t xml:space="preserve">Фесенко </t>
  </si>
  <si>
    <t xml:space="preserve">Совинська </t>
  </si>
  <si>
    <t xml:space="preserve">Мєзенцева </t>
  </si>
  <si>
    <t xml:space="preserve">Навроцька </t>
  </si>
  <si>
    <t xml:space="preserve">Юзькова </t>
  </si>
  <si>
    <t>Захарєв</t>
  </si>
  <si>
    <t xml:space="preserve">Климчук ,  Кожан </t>
  </si>
  <si>
    <t xml:space="preserve">Захарко </t>
  </si>
  <si>
    <t xml:space="preserve">Романішин </t>
  </si>
  <si>
    <t xml:space="preserve">Присяжний </t>
  </si>
  <si>
    <t xml:space="preserve">Аніськов </t>
  </si>
  <si>
    <t xml:space="preserve">Вибодовська </t>
  </si>
  <si>
    <t>Полійчук</t>
  </si>
  <si>
    <t xml:space="preserve">Акрибай </t>
  </si>
  <si>
    <t xml:space="preserve">Присяга </t>
  </si>
  <si>
    <t xml:space="preserve">Ямкова </t>
  </si>
  <si>
    <t xml:space="preserve">Терлецька </t>
  </si>
  <si>
    <t xml:space="preserve">Шлапак </t>
  </si>
  <si>
    <t xml:space="preserve">Мокрий </t>
  </si>
  <si>
    <t xml:space="preserve">Полійчук , Акрибай </t>
  </si>
  <si>
    <t>Терлецька  Матчук</t>
  </si>
  <si>
    <t>Жиган , Бевз ох. Пам.</t>
  </si>
  <si>
    <t xml:space="preserve">Мельник </t>
  </si>
  <si>
    <t xml:space="preserve">Премія за підсумками року </t>
  </si>
  <si>
    <t xml:space="preserve">Надбавки   - </t>
  </si>
  <si>
    <t xml:space="preserve">Доплати  - </t>
  </si>
  <si>
    <t>За роботу в нічний час                                                                   -15200,00</t>
  </si>
  <si>
    <t>З  урахуванням мінімальної  заробітної плати 4723,00грн та розміру І тарифного розряду Єдиної тарифної сітки -2102,00грн.</t>
  </si>
  <si>
    <t>Розрахунок  зроблено на підставі штатного  розпису станом на 01.01.2020р.</t>
  </si>
  <si>
    <t>Оплата праці  по проведеннію  заходів  (згідно  кошторисів)                 48900,00грн.</t>
  </si>
  <si>
    <t>ін</t>
  </si>
  <si>
    <t>213860*8,41%=17985,63грн.</t>
  </si>
  <si>
    <t xml:space="preserve">Матеріальна допомога на оздоровлення                                       -205501 </t>
  </si>
  <si>
    <t>Фонд заробітної плати за схемними окладами  2466012,00грн</t>
  </si>
  <si>
    <t>Всього по КЕКВ 2110 "оплата праці"   -3407600,80грн.</t>
  </si>
  <si>
    <t>3193740,80*22%=702622,98грн.</t>
  </si>
  <si>
    <t>КЕКВ 2120"  Нарахування на оплату праці"    -720608,61грн</t>
  </si>
  <si>
    <r>
      <t xml:space="preserve">За складність та напруженість  у роботі  ( бухгалтер, )        </t>
    </r>
    <r>
      <rPr>
        <sz val="10"/>
        <color indexed="10"/>
        <rFont val="Arial Cyr"/>
        <family val="0"/>
      </rPr>
      <t xml:space="preserve"> 31671,00</t>
    </r>
  </si>
  <si>
    <t xml:space="preserve">Любохинець </t>
  </si>
  <si>
    <t>Методист спеціаліст  1 категорії</t>
  </si>
  <si>
    <t xml:space="preserve">Методист  </t>
  </si>
  <si>
    <t>Провідний методист</t>
  </si>
  <si>
    <t xml:space="preserve">Методист ІІ категорії </t>
  </si>
  <si>
    <t xml:space="preserve">Методист </t>
  </si>
  <si>
    <t>складність та напруженість</t>
  </si>
  <si>
    <r>
      <t>ПОГОДЖЕНО:                                                                     Голова Хмельницької  обласної ради       __</t>
    </r>
    <r>
      <rPr>
        <b/>
        <sz val="16"/>
        <rFont val="Times New Roman"/>
        <family val="1"/>
      </rPr>
      <t>______________</t>
    </r>
    <r>
      <rPr>
        <sz val="16"/>
        <rFont val="Times New Roman"/>
        <family val="1"/>
      </rPr>
      <t xml:space="preserve">М.В. Загородний                                                                                                                            "____"  ______________   20    року.                                                                       </t>
    </r>
  </si>
  <si>
    <t>Методист - спеціаліст вищої категорії</t>
  </si>
  <si>
    <t>Іщук І.В</t>
  </si>
  <si>
    <t xml:space="preserve">Заступник директора з адміністративно-господарських питань </t>
  </si>
  <si>
    <r>
      <t>Затверджую: штат в кількості 50,75 чоловік з
       місячним фондом заробітної плати                                                                            227031,80 грн. (Двісті двадцять сім  тисяч  тридцять одна   грн. 80коп.)                                                                                     Начальник управління культури, 
              національностей,  релігій та туризму ХОДА                _______________________І.М. Трунова
    "____"   ________________20      року.</t>
    </r>
    <r>
      <rPr>
        <sz val="14"/>
        <rFont val="Times New Roman"/>
        <family val="1"/>
      </rPr>
      <t xml:space="preserve">
</t>
    </r>
  </si>
  <si>
    <t>Декрет -Дарїна</t>
  </si>
  <si>
    <t>Ваканції</t>
  </si>
  <si>
    <t>Водій ВАЗ 2110</t>
  </si>
  <si>
    <t xml:space="preserve">  </t>
  </si>
  <si>
    <t>на  1 січня  2021 року</t>
  </si>
  <si>
    <t>ІІХ.   Господарський відділ</t>
  </si>
  <si>
    <t>Музика</t>
  </si>
  <si>
    <t xml:space="preserve">Грабовецька </t>
  </si>
  <si>
    <r>
      <t>ПОГОДЖЕНО:                                                                     Голова Хмельницької  обласної ради       __</t>
    </r>
    <r>
      <rPr>
        <b/>
        <sz val="16"/>
        <rFont val="Times New Roman"/>
        <family val="1"/>
      </rPr>
      <t>______________</t>
    </r>
    <r>
      <rPr>
        <sz val="16"/>
        <rFont val="Times New Roman"/>
        <family val="1"/>
      </rPr>
      <t xml:space="preserve">М.В. ЗАГОРОДНИЙ                                                                                                                            "____"  ______________   2020 року.                                                                       </t>
    </r>
  </si>
  <si>
    <t>Романішин</t>
  </si>
  <si>
    <t>Смолінська</t>
  </si>
  <si>
    <t xml:space="preserve"> </t>
  </si>
  <si>
    <t>Дяконова</t>
  </si>
  <si>
    <t>Методист спеціаліст   вищої категорії</t>
  </si>
  <si>
    <t xml:space="preserve">ІІІ. Навчально-методичний відділ  мистецьких навчальних закладів  </t>
  </si>
  <si>
    <t>Методист - спеціаліст вищої категорії (завідувач сектором)</t>
  </si>
  <si>
    <t>Климчук , Мержвикський</t>
  </si>
  <si>
    <t>Завідувач  відділу</t>
  </si>
  <si>
    <t xml:space="preserve">Провівдний методист </t>
  </si>
  <si>
    <t>Головний режесер</t>
  </si>
  <si>
    <t>Керівник  самодіяльного колективу      (клуби, студії)</t>
  </si>
  <si>
    <t>V. Редакційно-видавничий відділ</t>
  </si>
  <si>
    <t xml:space="preserve">Головний художник </t>
  </si>
  <si>
    <t>Художник</t>
  </si>
  <si>
    <t>Аніськів</t>
  </si>
  <si>
    <t>Звуко-режесер вищої категорії</t>
  </si>
  <si>
    <t xml:space="preserve">Організатор культурно-дозвіллєвої діяльності </t>
  </si>
  <si>
    <t>Інженер-електрик</t>
  </si>
  <si>
    <t xml:space="preserve">Завідувач сектором </t>
  </si>
  <si>
    <t>Захарєв,</t>
  </si>
  <si>
    <t xml:space="preserve"> Маярчак</t>
  </si>
  <si>
    <t>Навроцька</t>
  </si>
  <si>
    <t>1V.Відділ культурно-освіттньої  роботи та креативних індустрій клубних закладів</t>
  </si>
  <si>
    <t>Пиріжок</t>
  </si>
  <si>
    <t>Акрибай д.</t>
  </si>
  <si>
    <t>Шудрак</t>
  </si>
  <si>
    <t xml:space="preserve">Полійчук </t>
  </si>
  <si>
    <t xml:space="preserve">        </t>
  </si>
  <si>
    <t>Інспектор з кадрів</t>
  </si>
  <si>
    <t xml:space="preserve">Директор                                                       А.Б.Клименко </t>
  </si>
  <si>
    <t>Завідуючий складом</t>
  </si>
  <si>
    <r>
      <t>Затверджую: штат в кількості 50,75 чоловік з
       місячним фондом заробітної плати                                                                            303416,08грн. (триста три   тисячі  чотириста шістнадцять  грн. 08 коп.)                                                                                     Директор департаменту інформаційної діяльності, культури, національностей  та  релігій  ХОДА                __________________І. Г. МИХАЙЛОВА
    "____"   ________________ 2020 року.</t>
    </r>
    <r>
      <rPr>
        <sz val="14"/>
        <rFont val="Times New Roman"/>
        <family val="1"/>
      </rPr>
      <t xml:space="preserve">
</t>
    </r>
  </si>
  <si>
    <t>Сектор підвищення rваліфікації та навчальної роботи</t>
  </si>
  <si>
    <t>рисяжний ,Стан</t>
  </si>
  <si>
    <t>Українець</t>
  </si>
  <si>
    <t>Науково- методачний відділ народної творчості та нематеріальної культурної спадщини</t>
  </si>
  <si>
    <t>на   01  серпня  2021 року</t>
  </si>
  <si>
    <t xml:space="preserve">Заступник директора з питань діяльносні клубних установ та культурно-мистецької освіти </t>
  </si>
  <si>
    <t>Завідувач відділу</t>
  </si>
  <si>
    <t>V. Відділ  креативних індустрій</t>
  </si>
  <si>
    <t>ІХ.   Господарський відділ</t>
  </si>
  <si>
    <t>Звукорежисер вищої категорії</t>
  </si>
  <si>
    <t>Секретар</t>
  </si>
  <si>
    <t>Завідувач складу</t>
  </si>
  <si>
    <t xml:space="preserve">         Головний бухгалтер                                   Галина МЕЛЬНИК</t>
  </si>
  <si>
    <t>Інженер-електронік</t>
  </si>
  <si>
    <t>ІV. Відділ інформаційно-методичного забезпечення клубних закладів</t>
  </si>
  <si>
    <t>Заступник директора з адміністративно-господарських питань  та комерційної діяльності</t>
  </si>
  <si>
    <t>VІІ. Редакційно-видавничий відділ</t>
  </si>
  <si>
    <t>VІ. Відділ охорони пам'яток</t>
  </si>
  <si>
    <t xml:space="preserve"> ШТАТНИЙ   РОЗПИС</t>
  </si>
  <si>
    <t>Керівник  самодіяльного колективу (клубу, студії)</t>
  </si>
  <si>
    <t>Методист-спеціаліст   вищої категорії</t>
  </si>
  <si>
    <t>Методист - спеціаліст   вищої категорії</t>
  </si>
  <si>
    <t>серпень -грудень  2021 року</t>
  </si>
  <si>
    <t>І. Відділ народної творчості та нематеріальної культурної спадщини</t>
  </si>
  <si>
    <t>ІІІ. Відділ  мистецьких навчальних закладів  та підвищення кваліфікації</t>
  </si>
  <si>
    <t>VІІІ. Сектор технічного забезпечення</t>
  </si>
  <si>
    <t>Заступник директора                                Ігор КІРЄЄВ</t>
  </si>
  <si>
    <r>
      <t>"ПОГОДЖЕНО":                                                                     Голова Хмельницької  обласної ради       __</t>
    </r>
    <r>
      <rPr>
        <b/>
        <sz val="16"/>
        <rFont val="Times New Roman"/>
        <family val="1"/>
      </rPr>
      <t>_</t>
    </r>
    <r>
      <rPr>
        <sz val="16"/>
        <rFont val="Times New Roman"/>
        <family val="1"/>
      </rPr>
      <t xml:space="preserve">Віолета ЛАБАЗЮК                                                                                                                           "____"  ______________   2021 року.                                                                       </t>
    </r>
  </si>
  <si>
    <r>
      <t>"ЗАТВЕРДЖУЮ": штат у  кількості 50,75 штатних одиниць з  місячним фондом заробітної плати                       307136,65 грн.       (Триста  сім  тисяч  сто тридцять шість  гривень 65 копійок )                                                                         Директор Департаменту інформаційної діяльності, культури, національностей  та  релігій  ХОДА                __________________Інна МИХАЙЛОВА
    "____"   ________________ 2021 року.</t>
    </r>
    <r>
      <rPr>
        <sz val="14"/>
        <rFont val="Times New Roman"/>
        <family val="1"/>
      </rPr>
      <t xml:space="preserve">
</t>
    </r>
  </si>
  <si>
    <t>Завідувач сектору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</si>
</sst>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\ _г_р_н_."/>
    <numFmt numFmtId="197" formatCode="0.0"/>
    <numFmt numFmtId="198" formatCode="#,##0.00_р_."/>
    <numFmt numFmtId="199" formatCode="[$-422]d\ mmmm\ yyyy&quot; р.&quot;"/>
    <numFmt numFmtId="200" formatCode="0.000"/>
    <numFmt numFmtId="201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u val="singleAccounting"/>
      <sz val="16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 Cyr"/>
      <family val="0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0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2" borderId="10" xfId="0" applyFill="1" applyBorder="1" applyAlignment="1">
      <alignment/>
    </xf>
    <xf numFmtId="196" fontId="6" fillId="33" borderId="10" xfId="0" applyNumberFormat="1" applyFont="1" applyFill="1" applyBorder="1" applyAlignment="1">
      <alignment horizontal="center" wrapText="1"/>
    </xf>
    <xf numFmtId="196" fontId="7" fillId="33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196" fontId="9" fillId="33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textRotation="90" wrapText="1"/>
    </xf>
    <xf numFmtId="0" fontId="12" fillId="0" borderId="10" xfId="0" applyFont="1" applyBorder="1" applyAlignment="1">
      <alignment textRotation="90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96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36" borderId="15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wrapText="1"/>
    </xf>
    <xf numFmtId="0" fontId="7" fillId="36" borderId="10" xfId="0" applyFont="1" applyFill="1" applyBorder="1" applyAlignment="1">
      <alignment horizontal="left" wrapText="1"/>
    </xf>
    <xf numFmtId="0" fontId="7" fillId="36" borderId="10" xfId="0" applyFont="1" applyFill="1" applyBorder="1" applyAlignment="1">
      <alignment horizontal="center" wrapText="1"/>
    </xf>
    <xf numFmtId="2" fontId="10" fillId="36" borderId="10" xfId="0" applyNumberFormat="1" applyFont="1" applyFill="1" applyBorder="1" applyAlignment="1">
      <alignment horizontal="center" wrapText="1"/>
    </xf>
    <xf numFmtId="0" fontId="10" fillId="36" borderId="2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96" fontId="15" fillId="33" borderId="10" xfId="0" applyNumberFormat="1" applyFont="1" applyFill="1" applyBorder="1" applyAlignment="1">
      <alignment horizontal="center" wrapText="1"/>
    </xf>
    <xf numFmtId="196" fontId="16" fillId="33" borderId="10" xfId="0" applyNumberFormat="1" applyFont="1" applyFill="1" applyBorder="1" applyAlignment="1">
      <alignment horizontal="center" wrapText="1"/>
    </xf>
    <xf numFmtId="196" fontId="17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9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19" fillId="0" borderId="0" xfId="0" applyNumberFormat="1" applyFont="1" applyAlignment="1">
      <alignment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10" fillId="36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35" borderId="12" xfId="0" applyFont="1" applyFill="1" applyBorder="1" applyAlignment="1">
      <alignment horizontal="center" vertical="top" wrapText="1"/>
    </xf>
    <xf numFmtId="196" fontId="6" fillId="36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36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2" fontId="6" fillId="35" borderId="12" xfId="0" applyNumberFormat="1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wrapText="1"/>
    </xf>
    <xf numFmtId="0" fontId="6" fillId="35" borderId="15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 wrapText="1"/>
    </xf>
    <xf numFmtId="196" fontId="6" fillId="35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2" fontId="6" fillId="35" borderId="12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0" fillId="36" borderId="15" xfId="0" applyFont="1" applyFill="1" applyBorder="1" applyAlignment="1">
      <alignment horizontal="center" vertical="top" wrapText="1"/>
    </xf>
    <xf numFmtId="2" fontId="10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 horizontal="center" wrapText="1"/>
    </xf>
    <xf numFmtId="2" fontId="6" fillId="35" borderId="12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35" borderId="12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35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87" fontId="5" fillId="0" borderId="18" xfId="6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0" fillId="32" borderId="15" xfId="0" applyFill="1" applyBorder="1" applyAlignment="1">
      <alignment horizontal="center" wrapText="1"/>
    </xf>
    <xf numFmtId="0" fontId="0" fillId="32" borderId="20" xfId="0" applyFill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35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2" fontId="6" fillId="35" borderId="12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10" fillId="36" borderId="20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10" fillId="36" borderId="15" xfId="0" applyFont="1" applyFill="1" applyBorder="1" applyAlignment="1">
      <alignment horizontal="center" vertical="top" wrapText="1"/>
    </xf>
    <xf numFmtId="0" fontId="10" fillId="36" borderId="21" xfId="0" applyFont="1" applyFill="1" applyBorder="1" applyAlignment="1">
      <alignment horizontal="center" vertical="top" wrapText="1"/>
    </xf>
    <xf numFmtId="0" fontId="10" fillId="36" borderId="20" xfId="0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35" borderId="15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0" fillId="32" borderId="21" xfId="0" applyFill="1" applyBorder="1" applyAlignment="1">
      <alignment horizontal="center" wrapText="1"/>
    </xf>
    <xf numFmtId="187" fontId="20" fillId="0" borderId="18" xfId="6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T91"/>
  <sheetViews>
    <sheetView zoomScale="90" zoomScaleNormal="90" zoomScalePageLayoutView="0" workbookViewId="0" topLeftCell="A13">
      <selection activeCell="M21" sqref="M21"/>
    </sheetView>
  </sheetViews>
  <sheetFormatPr defaultColWidth="9.00390625" defaultRowHeight="12.75"/>
  <cols>
    <col min="1" max="1" width="4.50390625" style="0" customWidth="1"/>
    <col min="2" max="2" width="21.00390625" style="0" customWidth="1"/>
    <col min="3" max="3" width="7.50390625" style="0" customWidth="1"/>
    <col min="4" max="4" width="6.50390625" style="0" customWidth="1"/>
    <col min="5" max="5" width="14.375" style="0" customWidth="1"/>
    <col min="6" max="6" width="9.875" style="0" customWidth="1"/>
    <col min="7" max="7" width="11.50390625" style="0" customWidth="1"/>
    <col min="8" max="8" width="10.50390625" style="0" customWidth="1"/>
    <col min="9" max="9" width="12.50390625" style="0" customWidth="1"/>
    <col min="10" max="10" width="10.125" style="0" customWidth="1"/>
    <col min="11" max="11" width="9.00390625" style="0" customWidth="1"/>
    <col min="12" max="12" width="13.875" style="0" customWidth="1"/>
    <col min="13" max="13" width="18.375" style="0" customWidth="1"/>
    <col min="14" max="14" width="0.37109375" style="0" hidden="1" customWidth="1"/>
    <col min="15" max="15" width="12.375" style="0" customWidth="1"/>
    <col min="16" max="16" width="9.125" style="0" hidden="1" customWidth="1"/>
    <col min="17" max="17" width="13.375" style="0" customWidth="1"/>
    <col min="19" max="19" width="18.125" style="0" customWidth="1"/>
  </cols>
  <sheetData>
    <row r="1" spans="1:13" ht="18" customHeight="1">
      <c r="A1" s="190" t="s">
        <v>127</v>
      </c>
      <c r="B1" s="190"/>
      <c r="C1" s="190"/>
      <c r="D1" s="190"/>
      <c r="E1" s="190"/>
      <c r="F1" s="10"/>
      <c r="G1" s="10"/>
      <c r="H1" s="191" t="s">
        <v>131</v>
      </c>
      <c r="I1" s="191"/>
      <c r="J1" s="191"/>
      <c r="K1" s="191"/>
      <c r="L1" s="191"/>
      <c r="M1" s="191"/>
    </row>
    <row r="2" spans="1:13" ht="18" customHeight="1">
      <c r="A2" s="190"/>
      <c r="B2" s="190"/>
      <c r="C2" s="190"/>
      <c r="D2" s="190"/>
      <c r="E2" s="190"/>
      <c r="F2" s="10"/>
      <c r="G2" s="10"/>
      <c r="H2" s="191"/>
      <c r="I2" s="191"/>
      <c r="J2" s="191"/>
      <c r="K2" s="191"/>
      <c r="L2" s="191"/>
      <c r="M2" s="191"/>
    </row>
    <row r="3" spans="1:19" ht="18" customHeight="1">
      <c r="A3" s="190"/>
      <c r="B3" s="190"/>
      <c r="C3" s="190"/>
      <c r="D3" s="190"/>
      <c r="E3" s="190"/>
      <c r="F3" s="10"/>
      <c r="G3" s="10"/>
      <c r="H3" s="191"/>
      <c r="I3" s="191"/>
      <c r="J3" s="191"/>
      <c r="K3" s="191"/>
      <c r="L3" s="191"/>
      <c r="M3" s="191"/>
      <c r="S3" s="20"/>
    </row>
    <row r="4" spans="1:19" ht="18.75" customHeight="1">
      <c r="A4" s="190"/>
      <c r="B4" s="190"/>
      <c r="C4" s="190"/>
      <c r="D4" s="190"/>
      <c r="E4" s="190"/>
      <c r="F4" s="3"/>
      <c r="G4" s="3"/>
      <c r="H4" s="191"/>
      <c r="I4" s="191"/>
      <c r="J4" s="191"/>
      <c r="K4" s="191"/>
      <c r="L4" s="191"/>
      <c r="M4" s="191"/>
      <c r="S4" s="20"/>
    </row>
    <row r="5" spans="1:19" ht="18.75" customHeight="1">
      <c r="A5" s="190"/>
      <c r="B5" s="190"/>
      <c r="C5" s="190"/>
      <c r="D5" s="190"/>
      <c r="E5" s="190"/>
      <c r="F5" s="3"/>
      <c r="G5" s="3"/>
      <c r="H5" s="191"/>
      <c r="I5" s="191"/>
      <c r="J5" s="191"/>
      <c r="K5" s="191"/>
      <c r="L5" s="191"/>
      <c r="M5" s="191"/>
      <c r="S5" s="60"/>
    </row>
    <row r="6" spans="1:19" ht="18.75" customHeight="1">
      <c r="A6" s="190"/>
      <c r="B6" s="190"/>
      <c r="C6" s="190"/>
      <c r="D6" s="190"/>
      <c r="E6" s="190"/>
      <c r="F6" s="3"/>
      <c r="G6" s="3"/>
      <c r="H6" s="191"/>
      <c r="I6" s="191"/>
      <c r="J6" s="191"/>
      <c r="K6" s="191"/>
      <c r="L6" s="191"/>
      <c r="M6" s="191"/>
      <c r="S6" s="20"/>
    </row>
    <row r="7" spans="1:19" ht="18.75" customHeight="1">
      <c r="A7" s="190"/>
      <c r="B7" s="190"/>
      <c r="C7" s="190"/>
      <c r="D7" s="190"/>
      <c r="E7" s="190"/>
      <c r="F7" s="3"/>
      <c r="G7" s="3"/>
      <c r="H7" s="191"/>
      <c r="I7" s="191"/>
      <c r="J7" s="191"/>
      <c r="K7" s="191"/>
      <c r="L7" s="191"/>
      <c r="M7" s="191"/>
      <c r="S7" s="20"/>
    </row>
    <row r="8" spans="1:15" ht="18.75" customHeight="1">
      <c r="A8" s="190"/>
      <c r="B8" s="190"/>
      <c r="C8" s="190"/>
      <c r="D8" s="190"/>
      <c r="E8" s="190"/>
      <c r="F8" s="3"/>
      <c r="G8" s="3"/>
      <c r="H8" s="191"/>
      <c r="I8" s="191"/>
      <c r="J8" s="191"/>
      <c r="K8" s="191"/>
      <c r="L8" s="191"/>
      <c r="M8" s="191"/>
      <c r="O8">
        <v>227031.8</v>
      </c>
    </row>
    <row r="9" spans="1:13" ht="18.75" customHeight="1">
      <c r="A9" s="3"/>
      <c r="B9" s="3"/>
      <c r="C9" s="3"/>
      <c r="D9" s="3"/>
      <c r="E9" s="3"/>
      <c r="F9" s="3"/>
      <c r="G9" s="3"/>
      <c r="H9" s="191"/>
      <c r="I9" s="191"/>
      <c r="J9" s="191"/>
      <c r="K9" s="191"/>
      <c r="L9" s="191"/>
      <c r="M9" s="191"/>
    </row>
    <row r="10" spans="1:13" ht="18.75" customHeight="1">
      <c r="A10" s="3"/>
      <c r="B10" s="3"/>
      <c r="C10" s="3"/>
      <c r="D10" s="3"/>
      <c r="E10" s="3"/>
      <c r="F10" s="3"/>
      <c r="G10" s="3"/>
      <c r="H10" s="191"/>
      <c r="I10" s="191"/>
      <c r="J10" s="191"/>
      <c r="K10" s="191"/>
      <c r="L10" s="191"/>
      <c r="M10" s="191"/>
    </row>
    <row r="11" spans="1:13" ht="18.75" customHeight="1">
      <c r="A11" s="3"/>
      <c r="B11" s="3"/>
      <c r="C11" s="3"/>
      <c r="D11" s="3"/>
      <c r="E11" s="3"/>
      <c r="F11" s="3"/>
      <c r="G11" s="3"/>
      <c r="H11" s="191"/>
      <c r="I11" s="191"/>
      <c r="J11" s="191"/>
      <c r="K11" s="191"/>
      <c r="L11" s="191"/>
      <c r="M11" s="191"/>
    </row>
    <row r="12" spans="1:13" ht="18.75" customHeight="1">
      <c r="A12" s="3"/>
      <c r="B12" s="3"/>
      <c r="C12" s="3"/>
      <c r="D12" s="3"/>
      <c r="E12" s="3"/>
      <c r="F12" s="3"/>
      <c r="G12" s="3"/>
      <c r="H12" s="191"/>
      <c r="I12" s="191"/>
      <c r="J12" s="191"/>
      <c r="K12" s="191"/>
      <c r="L12" s="191"/>
      <c r="M12" s="191"/>
    </row>
    <row r="13" spans="1:13" ht="36" customHeight="1">
      <c r="A13" s="3"/>
      <c r="B13" s="3"/>
      <c r="C13" s="3"/>
      <c r="D13" s="3"/>
      <c r="E13" s="3"/>
      <c r="F13" s="3"/>
      <c r="G13" s="3"/>
      <c r="H13" s="191"/>
      <c r="I13" s="191"/>
      <c r="J13" s="191"/>
      <c r="K13" s="191"/>
      <c r="L13" s="191"/>
      <c r="M13" s="191"/>
    </row>
    <row r="14" spans="1:13" ht="34.5" customHeight="1">
      <c r="A14" s="157" t="s">
        <v>24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30" customHeight="1">
      <c r="A15" s="157" t="s">
        <v>40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30" customHeight="1">
      <c r="A16" s="158" t="s">
        <v>136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2.75" customHeight="1">
      <c r="A17" s="141" t="s">
        <v>0</v>
      </c>
      <c r="B17" s="141" t="s">
        <v>1</v>
      </c>
      <c r="C17" s="14"/>
      <c r="D17" s="141" t="s">
        <v>2</v>
      </c>
      <c r="E17" s="147" t="s">
        <v>3</v>
      </c>
      <c r="F17" s="144" t="s">
        <v>4</v>
      </c>
      <c r="G17" s="144"/>
      <c r="H17" s="144"/>
      <c r="I17" s="159" t="s">
        <v>23</v>
      </c>
      <c r="J17" s="159"/>
      <c r="K17" s="160"/>
      <c r="L17" s="141" t="s">
        <v>5</v>
      </c>
      <c r="M17" s="141" t="s">
        <v>6</v>
      </c>
    </row>
    <row r="18" spans="1:13" ht="6" customHeight="1">
      <c r="A18" s="142"/>
      <c r="B18" s="142"/>
      <c r="C18" s="15"/>
      <c r="D18" s="142"/>
      <c r="E18" s="148"/>
      <c r="F18" s="144"/>
      <c r="G18" s="144"/>
      <c r="H18" s="144"/>
      <c r="I18" s="161"/>
      <c r="J18" s="161"/>
      <c r="K18" s="162"/>
      <c r="L18" s="142"/>
      <c r="M18" s="142"/>
    </row>
    <row r="19" spans="1:20" ht="93" customHeight="1">
      <c r="A19" s="143"/>
      <c r="B19" s="143"/>
      <c r="C19" s="16" t="s">
        <v>58</v>
      </c>
      <c r="D19" s="143"/>
      <c r="E19" s="149"/>
      <c r="F19" s="11" t="s">
        <v>7</v>
      </c>
      <c r="G19" s="11" t="s">
        <v>8</v>
      </c>
      <c r="H19" s="11" t="s">
        <v>9</v>
      </c>
      <c r="I19" s="11" t="s">
        <v>10</v>
      </c>
      <c r="J19" s="12" t="s">
        <v>11</v>
      </c>
      <c r="K19" s="13" t="s">
        <v>12</v>
      </c>
      <c r="L19" s="143"/>
      <c r="M19" s="143"/>
      <c r="N19" s="164" t="s">
        <v>25</v>
      </c>
      <c r="O19" s="165"/>
      <c r="P19" s="4"/>
      <c r="T19" s="81" t="s">
        <v>126</v>
      </c>
    </row>
    <row r="20" spans="1:16" ht="17.25" customHeight="1">
      <c r="A20" s="7">
        <v>1</v>
      </c>
      <c r="B20" s="7">
        <v>2</v>
      </c>
      <c r="C20" s="8"/>
      <c r="D20" s="8">
        <v>3</v>
      </c>
      <c r="E20" s="8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153"/>
      <c r="O20" s="153"/>
      <c r="P20" s="153"/>
    </row>
    <row r="21" spans="1:20" ht="23.25" customHeight="1">
      <c r="A21" s="27">
        <v>1</v>
      </c>
      <c r="B21" s="51" t="s">
        <v>13</v>
      </c>
      <c r="C21" s="27">
        <v>16</v>
      </c>
      <c r="D21" s="28">
        <v>1</v>
      </c>
      <c r="E21" s="5">
        <v>5865</v>
      </c>
      <c r="F21" s="5"/>
      <c r="G21" s="64">
        <f>E21/2</f>
        <v>2932.5</v>
      </c>
      <c r="H21" s="29"/>
      <c r="I21" s="5">
        <f>E21*10%</f>
        <v>586.5</v>
      </c>
      <c r="J21" s="5"/>
      <c r="K21" s="5"/>
      <c r="L21" s="5">
        <f>SUM(E21:K21)</f>
        <v>9384</v>
      </c>
      <c r="M21" s="5">
        <f>L21*12</f>
        <v>112608</v>
      </c>
      <c r="N21" s="150"/>
      <c r="O21" s="150"/>
      <c r="P21" s="150"/>
      <c r="Q21" t="s">
        <v>68</v>
      </c>
      <c r="T21">
        <v>2932.5</v>
      </c>
    </row>
    <row r="22" spans="1:20" ht="63" customHeight="1">
      <c r="A22" s="27">
        <v>2</v>
      </c>
      <c r="B22" s="51" t="s">
        <v>56</v>
      </c>
      <c r="C22" s="27"/>
      <c r="D22" s="28">
        <v>1</v>
      </c>
      <c r="E22" s="83">
        <v>5572</v>
      </c>
      <c r="F22" s="31">
        <f>E22*0.2</f>
        <v>1114.4</v>
      </c>
      <c r="G22" s="5"/>
      <c r="H22" s="29"/>
      <c r="I22" s="64">
        <f>(E22*20)/100</f>
        <v>1114.4</v>
      </c>
      <c r="J22" s="5"/>
      <c r="K22" s="5"/>
      <c r="L22" s="5">
        <f>SUM(E22:K22)</f>
        <v>7800.799999999999</v>
      </c>
      <c r="M22" s="5">
        <f>L22*12</f>
        <v>93609.59999999999</v>
      </c>
      <c r="N22" s="150"/>
      <c r="O22" s="150"/>
      <c r="P22" s="150"/>
      <c r="Q22" t="s">
        <v>69</v>
      </c>
      <c r="T22">
        <f>E22*50%</f>
        <v>2786</v>
      </c>
    </row>
    <row r="23" spans="1:20" ht="60.75" customHeight="1">
      <c r="A23" s="27">
        <v>3</v>
      </c>
      <c r="B23" s="51" t="s">
        <v>35</v>
      </c>
      <c r="C23" s="27"/>
      <c r="D23" s="28">
        <v>1</v>
      </c>
      <c r="E23" s="83">
        <v>5572</v>
      </c>
      <c r="F23" s="5"/>
      <c r="G23" s="5"/>
      <c r="H23" s="29"/>
      <c r="I23" s="64"/>
      <c r="J23" s="5"/>
      <c r="K23" s="5"/>
      <c r="L23" s="5">
        <f>SUM(E23:K23)</f>
        <v>5572</v>
      </c>
      <c r="M23" s="5">
        <f>L23*12</f>
        <v>66864</v>
      </c>
      <c r="N23" s="150"/>
      <c r="O23" s="150"/>
      <c r="P23" s="150"/>
      <c r="Q23" t="s">
        <v>70</v>
      </c>
      <c r="T23">
        <f>E23*50%</f>
        <v>2786</v>
      </c>
    </row>
    <row r="24" spans="1:20" ht="62.25" customHeight="1">
      <c r="A24" s="27">
        <v>4</v>
      </c>
      <c r="B24" s="51" t="s">
        <v>130</v>
      </c>
      <c r="C24" s="27"/>
      <c r="D24" s="28">
        <v>1</v>
      </c>
      <c r="E24" s="83">
        <v>5572</v>
      </c>
      <c r="F24" s="5"/>
      <c r="G24" s="5"/>
      <c r="H24" s="29"/>
      <c r="I24" s="64"/>
      <c r="J24" s="5"/>
      <c r="K24" s="5"/>
      <c r="L24" s="5">
        <f>SUM(E24:K24)</f>
        <v>5572</v>
      </c>
      <c r="M24" s="5">
        <f>L24*12</f>
        <v>66864</v>
      </c>
      <c r="N24" s="150"/>
      <c r="O24" s="150"/>
      <c r="P24" s="150"/>
      <c r="Q24" t="s">
        <v>71</v>
      </c>
      <c r="T24">
        <f>E24*50%</f>
        <v>2786</v>
      </c>
    </row>
    <row r="25" spans="1:17" ht="21" customHeight="1">
      <c r="A25" s="27">
        <v>5</v>
      </c>
      <c r="B25" s="51" t="s">
        <v>57</v>
      </c>
      <c r="C25" s="27">
        <v>12</v>
      </c>
      <c r="D25" s="28">
        <v>1</v>
      </c>
      <c r="E25" s="5">
        <v>4456</v>
      </c>
      <c r="F25" s="5"/>
      <c r="G25" s="5"/>
      <c r="H25" s="29"/>
      <c r="I25" s="5"/>
      <c r="J25" s="5"/>
      <c r="K25" s="5"/>
      <c r="L25" s="5">
        <f>SUM(E25:K25)</f>
        <v>4456</v>
      </c>
      <c r="M25" s="5">
        <f>L25*12</f>
        <v>53472</v>
      </c>
      <c r="N25" s="151">
        <f>(4723-E25)*12</f>
        <v>3204</v>
      </c>
      <c r="O25" s="152"/>
      <c r="P25" s="30"/>
      <c r="Q25" t="s">
        <v>72</v>
      </c>
    </row>
    <row r="26" spans="1:16" ht="15">
      <c r="A26" s="28"/>
      <c r="B26" s="52" t="s">
        <v>14</v>
      </c>
      <c r="C26" s="32"/>
      <c r="D26" s="33">
        <f>SUM(D21:D25)</f>
        <v>5</v>
      </c>
      <c r="E26" s="65">
        <f>E21+E22++E23+E24+E25</f>
        <v>27037</v>
      </c>
      <c r="F26" s="9">
        <f>SUM(F21:F24)</f>
        <v>1114.4</v>
      </c>
      <c r="G26" s="9">
        <f>SUM(G21:G24)</f>
        <v>2932.5</v>
      </c>
      <c r="H26" s="65"/>
      <c r="I26" s="65">
        <f>SUM(I21:I24)</f>
        <v>1700.9</v>
      </c>
      <c r="J26" s="65"/>
      <c r="K26" s="6"/>
      <c r="L26" s="6">
        <f>SUM(L21:L25)</f>
        <v>32784.8</v>
      </c>
      <c r="M26" s="6">
        <f>SUM(M21:M25)</f>
        <v>393417.6</v>
      </c>
      <c r="N26" s="150"/>
      <c r="O26" s="150"/>
      <c r="P26" s="150"/>
    </row>
    <row r="27" spans="1:20" ht="15">
      <c r="A27" s="154" t="s">
        <v>27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6"/>
      <c r="L27" s="34"/>
      <c r="M27" s="34"/>
      <c r="N27" s="150"/>
      <c r="O27" s="150"/>
      <c r="P27" s="150"/>
      <c r="T27">
        <f>SUM(T22:T26)</f>
        <v>8358</v>
      </c>
    </row>
    <row r="28" spans="1:20" ht="38.25" customHeight="1">
      <c r="A28" s="27">
        <v>1</v>
      </c>
      <c r="B28" s="37" t="s">
        <v>15</v>
      </c>
      <c r="C28" s="27">
        <v>14</v>
      </c>
      <c r="D28" s="28">
        <v>1</v>
      </c>
      <c r="E28" s="31">
        <v>5087</v>
      </c>
      <c r="F28" s="31"/>
      <c r="G28" s="28"/>
      <c r="H28" s="28"/>
      <c r="I28" s="5">
        <f>(E28*20)/100</f>
        <v>1017.4</v>
      </c>
      <c r="J28" s="28"/>
      <c r="K28" s="27"/>
      <c r="L28" s="31">
        <f>SUM(E28:K28)</f>
        <v>6104.4</v>
      </c>
      <c r="M28" s="31">
        <f>L28*12</f>
        <v>73252.79999999999</v>
      </c>
      <c r="N28" s="150"/>
      <c r="O28" s="150"/>
      <c r="P28" s="150"/>
      <c r="Q28" t="s">
        <v>73</v>
      </c>
      <c r="T28">
        <f>E28*30%</f>
        <v>1526.1</v>
      </c>
    </row>
    <row r="29" spans="1:17" ht="29.25" customHeight="1">
      <c r="A29" s="27">
        <v>2</v>
      </c>
      <c r="B29" s="72" t="s">
        <v>16</v>
      </c>
      <c r="C29" s="27">
        <v>12</v>
      </c>
      <c r="D29" s="28">
        <v>1</v>
      </c>
      <c r="E29" s="31">
        <v>4456</v>
      </c>
      <c r="F29" s="28"/>
      <c r="G29" s="28"/>
      <c r="H29" s="28"/>
      <c r="I29" s="5">
        <f>E29*20%</f>
        <v>891.2</v>
      </c>
      <c r="J29" s="28"/>
      <c r="K29" s="27"/>
      <c r="L29" s="31">
        <f aca="true" t="shared" si="0" ref="L29:L34">SUM(E29:K29)</f>
        <v>5347.2</v>
      </c>
      <c r="M29" s="31">
        <f aca="true" t="shared" si="1" ref="M29:M34">L29*12</f>
        <v>64166.399999999994</v>
      </c>
      <c r="N29" s="166"/>
      <c r="O29" s="167"/>
      <c r="P29" s="30"/>
      <c r="Q29" t="s">
        <v>74</v>
      </c>
    </row>
    <row r="30" spans="1:18" ht="33.75" customHeight="1">
      <c r="A30" s="27">
        <v>3</v>
      </c>
      <c r="B30" s="72" t="s">
        <v>16</v>
      </c>
      <c r="C30" s="27">
        <v>12</v>
      </c>
      <c r="D30" s="28">
        <v>1</v>
      </c>
      <c r="E30" s="31">
        <v>4456</v>
      </c>
      <c r="F30" s="28"/>
      <c r="G30" s="28"/>
      <c r="H30" s="28"/>
      <c r="I30" s="5">
        <v>445.6</v>
      </c>
      <c r="J30" s="28"/>
      <c r="K30" s="27"/>
      <c r="L30" s="31">
        <f t="shared" si="0"/>
        <v>4901.6</v>
      </c>
      <c r="M30" s="31">
        <f t="shared" si="1"/>
        <v>58819.200000000004</v>
      </c>
      <c r="N30" s="166"/>
      <c r="O30" s="167"/>
      <c r="P30" s="30"/>
      <c r="Q30" t="s">
        <v>79</v>
      </c>
      <c r="R30">
        <v>4456</v>
      </c>
    </row>
    <row r="31" spans="1:20" ht="33" customHeight="1">
      <c r="A31" s="27">
        <v>4</v>
      </c>
      <c r="B31" s="72" t="s">
        <v>34</v>
      </c>
      <c r="C31" s="27">
        <v>12</v>
      </c>
      <c r="D31" s="28">
        <v>1</v>
      </c>
      <c r="E31" s="31">
        <v>4456</v>
      </c>
      <c r="F31" s="28"/>
      <c r="G31" s="28"/>
      <c r="H31" s="28"/>
      <c r="I31" s="5">
        <f>E31*20%</f>
        <v>891.2</v>
      </c>
      <c r="J31" s="28"/>
      <c r="K31" s="27"/>
      <c r="L31" s="31">
        <f t="shared" si="0"/>
        <v>5347.2</v>
      </c>
      <c r="M31" s="31">
        <f t="shared" si="1"/>
        <v>64166.399999999994</v>
      </c>
      <c r="N31" s="166"/>
      <c r="O31" s="167"/>
      <c r="P31" s="30"/>
      <c r="Q31" t="s">
        <v>75</v>
      </c>
      <c r="T31">
        <f>E31*10%</f>
        <v>445.6</v>
      </c>
    </row>
    <row r="32" spans="1:18" ht="28.5" customHeight="1">
      <c r="A32" s="27">
        <v>5</v>
      </c>
      <c r="B32" s="72" t="s">
        <v>16</v>
      </c>
      <c r="C32" s="27">
        <v>12</v>
      </c>
      <c r="D32" s="28">
        <v>1</v>
      </c>
      <c r="E32" s="31">
        <v>4456</v>
      </c>
      <c r="F32" s="28"/>
      <c r="G32" s="28"/>
      <c r="H32" s="28"/>
      <c r="I32" s="5"/>
      <c r="J32" s="28"/>
      <c r="K32" s="27"/>
      <c r="L32" s="31">
        <f t="shared" si="0"/>
        <v>4456</v>
      </c>
      <c r="M32" s="31">
        <f t="shared" si="1"/>
        <v>53472</v>
      </c>
      <c r="N32" s="166">
        <f>(4723-L32)*12</f>
        <v>3204</v>
      </c>
      <c r="O32" s="167"/>
      <c r="P32" s="30"/>
      <c r="Q32" t="s">
        <v>76</v>
      </c>
      <c r="R32">
        <v>820</v>
      </c>
    </row>
    <row r="33" spans="1:18" ht="21.75" customHeight="1">
      <c r="A33" s="27">
        <v>6</v>
      </c>
      <c r="B33" s="72" t="s">
        <v>125</v>
      </c>
      <c r="C33" s="27">
        <v>9</v>
      </c>
      <c r="D33" s="28">
        <v>1</v>
      </c>
      <c r="E33" s="31">
        <v>3636</v>
      </c>
      <c r="F33" s="28"/>
      <c r="G33" s="28"/>
      <c r="H33" s="28"/>
      <c r="I33" s="5"/>
      <c r="J33" s="28"/>
      <c r="K33" s="27"/>
      <c r="L33" s="31">
        <f t="shared" si="0"/>
        <v>3636</v>
      </c>
      <c r="M33" s="31">
        <f t="shared" si="1"/>
        <v>43632</v>
      </c>
      <c r="N33" s="150">
        <f>(4723-L33)*12</f>
        <v>13044</v>
      </c>
      <c r="O33" s="150"/>
      <c r="P33" s="150"/>
      <c r="Q33" t="s">
        <v>77</v>
      </c>
      <c r="R33">
        <v>3636</v>
      </c>
    </row>
    <row r="34" spans="1:18" ht="18" customHeight="1">
      <c r="A34" s="27">
        <v>7</v>
      </c>
      <c r="B34" s="72" t="s">
        <v>122</v>
      </c>
      <c r="C34" s="27">
        <v>9</v>
      </c>
      <c r="D34" s="28">
        <v>1</v>
      </c>
      <c r="E34" s="31">
        <v>3636</v>
      </c>
      <c r="F34" s="28"/>
      <c r="G34" s="28"/>
      <c r="H34" s="28"/>
      <c r="I34" s="5"/>
      <c r="J34" s="28"/>
      <c r="K34" s="27"/>
      <c r="L34" s="31">
        <f t="shared" si="0"/>
        <v>3636</v>
      </c>
      <c r="M34" s="31">
        <f t="shared" si="1"/>
        <v>43632</v>
      </c>
      <c r="N34" s="166">
        <f>(4723-L34)</f>
        <v>1087</v>
      </c>
      <c r="O34" s="167"/>
      <c r="P34" s="30"/>
      <c r="Q34" t="s">
        <v>78</v>
      </c>
      <c r="R34">
        <v>3636</v>
      </c>
    </row>
    <row r="35" spans="1:16" ht="15">
      <c r="A35" s="35"/>
      <c r="B35" s="44" t="s">
        <v>14</v>
      </c>
      <c r="C35" s="32"/>
      <c r="D35" s="33">
        <f>SUM(D28:D34)</f>
        <v>7</v>
      </c>
      <c r="E35" s="36">
        <f>SUM(E28:E34)</f>
        <v>30183</v>
      </c>
      <c r="F35" s="36">
        <f>SUM(F28:F34)</f>
        <v>0</v>
      </c>
      <c r="G35" s="32"/>
      <c r="H35" s="32"/>
      <c r="I35" s="66">
        <f>SUM(I28:I34)</f>
        <v>3245.3999999999996</v>
      </c>
      <c r="J35" s="32"/>
      <c r="K35" s="32"/>
      <c r="L35" s="36">
        <f>SUM(L28:L34)</f>
        <v>33428.399999999994</v>
      </c>
      <c r="M35" s="36">
        <f>SUM(M28:M34)</f>
        <v>401140.8</v>
      </c>
      <c r="N35" s="150">
        <f>N34+N33+N32</f>
        <v>17335</v>
      </c>
      <c r="O35" s="150"/>
      <c r="P35" s="150"/>
    </row>
    <row r="36" spans="1:19" ht="23.25" customHeight="1">
      <c r="A36" s="154" t="s">
        <v>36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6"/>
      <c r="N36" s="163"/>
      <c r="O36" s="163"/>
      <c r="P36" s="163"/>
      <c r="Q36" s="79"/>
      <c r="R36" s="79">
        <f>SUM(R30:R35)</f>
        <v>12548</v>
      </c>
      <c r="S36" s="17"/>
    </row>
    <row r="37" spans="1:20" ht="24" customHeight="1">
      <c r="A37" s="28">
        <v>1</v>
      </c>
      <c r="B37" s="53" t="s">
        <v>17</v>
      </c>
      <c r="C37" s="28"/>
      <c r="D37" s="28">
        <v>1</v>
      </c>
      <c r="E37" s="84">
        <v>5279</v>
      </c>
      <c r="F37" s="28"/>
      <c r="G37" s="28"/>
      <c r="H37" s="28"/>
      <c r="I37" s="28"/>
      <c r="J37" s="28"/>
      <c r="K37" s="27"/>
      <c r="L37" s="31">
        <f>SUM(E37:K37)</f>
        <v>5279</v>
      </c>
      <c r="M37" s="31">
        <f>L37*12</f>
        <v>63348</v>
      </c>
      <c r="N37" s="150"/>
      <c r="O37" s="150"/>
      <c r="P37" s="150"/>
      <c r="Q37" t="s">
        <v>104</v>
      </c>
      <c r="R37" t="s">
        <v>112</v>
      </c>
      <c r="T37">
        <f>E37*50%</f>
        <v>2639.5</v>
      </c>
    </row>
    <row r="38" spans="1:20" ht="21" customHeight="1">
      <c r="A38" s="27">
        <v>2</v>
      </c>
      <c r="B38" s="51" t="s">
        <v>37</v>
      </c>
      <c r="C38" s="27">
        <v>10</v>
      </c>
      <c r="D38" s="28">
        <v>1</v>
      </c>
      <c r="E38" s="31">
        <v>3826</v>
      </c>
      <c r="F38" s="28"/>
      <c r="G38" s="28"/>
      <c r="H38" s="28"/>
      <c r="I38" s="28"/>
      <c r="J38" s="28"/>
      <c r="K38" s="27"/>
      <c r="L38" s="31">
        <f>SUM(E38:K38)</f>
        <v>3826</v>
      </c>
      <c r="M38" s="31">
        <f>L38*12</f>
        <v>45912</v>
      </c>
      <c r="N38" s="150">
        <f>(4723-L38)*12</f>
        <v>10764</v>
      </c>
      <c r="O38" s="150"/>
      <c r="P38" s="150"/>
      <c r="Q38" t="s">
        <v>80</v>
      </c>
      <c r="T38">
        <f>E38*50%</f>
        <v>1913</v>
      </c>
    </row>
    <row r="39" spans="1:20" ht="19.5" customHeight="1">
      <c r="A39" s="27">
        <v>3</v>
      </c>
      <c r="B39" s="51" t="s">
        <v>37</v>
      </c>
      <c r="C39" s="27">
        <v>10</v>
      </c>
      <c r="D39" s="28">
        <v>1</v>
      </c>
      <c r="E39" s="31">
        <v>3826</v>
      </c>
      <c r="F39" s="28"/>
      <c r="G39" s="28"/>
      <c r="H39" s="28"/>
      <c r="I39" s="28"/>
      <c r="J39" s="28"/>
      <c r="K39" s="27"/>
      <c r="L39" s="31">
        <f>SUM(E39:K39)</f>
        <v>3826</v>
      </c>
      <c r="M39" s="31">
        <f>L39*12</f>
        <v>45912</v>
      </c>
      <c r="N39" s="150">
        <v>10764</v>
      </c>
      <c r="O39" s="150"/>
      <c r="P39" s="150"/>
      <c r="Q39" t="s">
        <v>120</v>
      </c>
      <c r="R39">
        <v>190</v>
      </c>
      <c r="T39">
        <f>E39*50%</f>
        <v>1913</v>
      </c>
    </row>
    <row r="40" spans="1:20" ht="19.5" customHeight="1">
      <c r="A40" s="27">
        <v>4</v>
      </c>
      <c r="B40" s="51" t="s">
        <v>26</v>
      </c>
      <c r="C40" s="27">
        <v>10</v>
      </c>
      <c r="D40" s="28">
        <v>1</v>
      </c>
      <c r="E40" s="31">
        <v>3826</v>
      </c>
      <c r="F40" s="28"/>
      <c r="G40" s="28"/>
      <c r="H40" s="28"/>
      <c r="I40" s="28"/>
      <c r="J40" s="28"/>
      <c r="K40" s="27"/>
      <c r="L40" s="31">
        <f>SUM(E40:K40)</f>
        <v>3826</v>
      </c>
      <c r="M40" s="31">
        <f>L40*12</f>
        <v>45912</v>
      </c>
      <c r="N40" s="166">
        <v>10764</v>
      </c>
      <c r="O40" s="167"/>
      <c r="P40" s="30"/>
      <c r="Q40" t="s">
        <v>82</v>
      </c>
      <c r="T40">
        <f>E40*50%</f>
        <v>1913</v>
      </c>
    </row>
    <row r="41" spans="1:16" ht="21" customHeight="1">
      <c r="A41" s="35"/>
      <c r="B41" s="52" t="s">
        <v>14</v>
      </c>
      <c r="C41" s="32"/>
      <c r="D41" s="33">
        <f>SUM(D37:D40)</f>
        <v>4</v>
      </c>
      <c r="E41" s="36">
        <f>SUM(E37:E40)</f>
        <v>16757</v>
      </c>
      <c r="F41" s="32"/>
      <c r="G41" s="32"/>
      <c r="H41" s="32"/>
      <c r="I41" s="32"/>
      <c r="J41" s="32"/>
      <c r="K41" s="32"/>
      <c r="L41" s="36">
        <f>SUM(L37:L40)</f>
        <v>16757</v>
      </c>
      <c r="M41" s="36">
        <f>SUM(M37:M40)</f>
        <v>201084</v>
      </c>
      <c r="N41" s="150">
        <f>N39+N38+N40</f>
        <v>32292</v>
      </c>
      <c r="O41" s="150"/>
      <c r="P41" s="150"/>
    </row>
    <row r="42" spans="1:18" ht="27" customHeight="1">
      <c r="A42" s="154" t="s">
        <v>38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6"/>
      <c r="N42" s="163"/>
      <c r="O42" s="163"/>
      <c r="P42" s="163"/>
      <c r="Q42" s="79"/>
      <c r="R42" s="79">
        <f>SUM(R38:R41)</f>
        <v>190</v>
      </c>
    </row>
    <row r="43" spans="1:16" ht="15">
      <c r="A43" s="168">
        <v>1</v>
      </c>
      <c r="B43" s="173" t="s">
        <v>128</v>
      </c>
      <c r="C43" s="77"/>
      <c r="D43" s="177">
        <v>1</v>
      </c>
      <c r="E43" s="179">
        <v>5087</v>
      </c>
      <c r="F43" s="175"/>
      <c r="G43" s="175"/>
      <c r="H43" s="175"/>
      <c r="I43" s="179" t="s">
        <v>135</v>
      </c>
      <c r="J43" s="175"/>
      <c r="K43" s="168"/>
      <c r="L43" s="170">
        <f>SUM(E43:K44)</f>
        <v>5087</v>
      </c>
      <c r="M43" s="170">
        <f>L43*12</f>
        <v>61044</v>
      </c>
      <c r="N43" s="150"/>
      <c r="O43" s="150"/>
      <c r="P43" s="150"/>
    </row>
    <row r="44" spans="1:17" ht="33" customHeight="1">
      <c r="A44" s="169"/>
      <c r="B44" s="174"/>
      <c r="C44" s="78">
        <v>14</v>
      </c>
      <c r="D44" s="178"/>
      <c r="E44" s="180"/>
      <c r="F44" s="176"/>
      <c r="G44" s="176"/>
      <c r="H44" s="176"/>
      <c r="I44" s="180"/>
      <c r="J44" s="176"/>
      <c r="K44" s="169"/>
      <c r="L44" s="170"/>
      <c r="M44" s="170"/>
      <c r="N44" s="150"/>
      <c r="O44" s="150"/>
      <c r="P44" s="150"/>
      <c r="Q44" t="s">
        <v>83</v>
      </c>
    </row>
    <row r="45" spans="1:17" ht="37.5" customHeight="1">
      <c r="A45" s="27">
        <v>2</v>
      </c>
      <c r="B45" s="82" t="s">
        <v>128</v>
      </c>
      <c r="C45" s="76">
        <v>14</v>
      </c>
      <c r="D45" s="76">
        <v>1</v>
      </c>
      <c r="E45" s="31">
        <v>5087</v>
      </c>
      <c r="F45" s="28"/>
      <c r="G45" s="28"/>
      <c r="H45" s="28"/>
      <c r="I45" s="31">
        <f>E45*0.2</f>
        <v>1017.4000000000001</v>
      </c>
      <c r="J45" s="28"/>
      <c r="K45" s="27"/>
      <c r="L45" s="31">
        <f>SUM(E45:K45)</f>
        <v>6104.4</v>
      </c>
      <c r="M45" s="31">
        <f>L45*12</f>
        <v>73252.79999999999</v>
      </c>
      <c r="N45" s="150"/>
      <c r="O45" s="150"/>
      <c r="P45" s="150"/>
      <c r="Q45" t="s">
        <v>84</v>
      </c>
    </row>
    <row r="46" spans="1:17" ht="22.5" customHeight="1">
      <c r="A46" s="27">
        <v>3</v>
      </c>
      <c r="B46" s="74" t="s">
        <v>122</v>
      </c>
      <c r="C46" s="76">
        <v>11</v>
      </c>
      <c r="D46" s="76">
        <v>1</v>
      </c>
      <c r="E46" s="31">
        <v>4141</v>
      </c>
      <c r="F46" s="28"/>
      <c r="G46" s="28"/>
      <c r="H46" s="28"/>
      <c r="I46" s="31"/>
      <c r="J46" s="28"/>
      <c r="K46" s="27"/>
      <c r="L46" s="31">
        <f>SUM(E46:K46)</f>
        <v>4141</v>
      </c>
      <c r="M46" s="31">
        <f>L46*12</f>
        <v>49692</v>
      </c>
      <c r="N46" s="150">
        <f>(4723-L46)*12</f>
        <v>6984</v>
      </c>
      <c r="O46" s="150"/>
      <c r="P46" s="150"/>
      <c r="Q46" t="s">
        <v>133</v>
      </c>
    </row>
    <row r="47" spans="1:18" ht="33.75" customHeight="1">
      <c r="A47" s="27">
        <v>4</v>
      </c>
      <c r="B47" s="75" t="s">
        <v>121</v>
      </c>
      <c r="C47" s="76">
        <v>13</v>
      </c>
      <c r="D47" s="76">
        <v>1</v>
      </c>
      <c r="E47" s="31">
        <v>4772</v>
      </c>
      <c r="F47" s="28"/>
      <c r="G47" s="28"/>
      <c r="H47" s="28"/>
      <c r="I47" s="31">
        <f>E47*0.2</f>
        <v>954.4000000000001</v>
      </c>
      <c r="J47" s="28"/>
      <c r="K47" s="27"/>
      <c r="L47" s="31">
        <f>SUM(E47:K47)</f>
        <v>5726.4</v>
      </c>
      <c r="M47" s="31">
        <f>L47*12</f>
        <v>68716.79999999999</v>
      </c>
      <c r="N47" s="30"/>
      <c r="O47" s="30"/>
      <c r="P47" s="30"/>
      <c r="Q47" t="s">
        <v>132</v>
      </c>
      <c r="R47">
        <v>4772</v>
      </c>
    </row>
    <row r="48" spans="1:17" ht="47.25" customHeight="1">
      <c r="A48" s="27">
        <v>5</v>
      </c>
      <c r="B48" s="82" t="s">
        <v>128</v>
      </c>
      <c r="C48" s="76">
        <v>14</v>
      </c>
      <c r="D48" s="76">
        <v>1</v>
      </c>
      <c r="E48" s="31">
        <v>5087</v>
      </c>
      <c r="F48" s="28"/>
      <c r="G48" s="28"/>
      <c r="H48" s="28"/>
      <c r="I48" s="31">
        <f>E48*0.2</f>
        <v>1017.4000000000001</v>
      </c>
      <c r="J48" s="28"/>
      <c r="K48" s="27"/>
      <c r="L48" s="31">
        <f>SUM(E48:K48)</f>
        <v>6104.4</v>
      </c>
      <c r="M48" s="31">
        <f>L48*12</f>
        <v>73252.79999999999</v>
      </c>
      <c r="N48" s="150"/>
      <c r="O48" s="150"/>
      <c r="P48" s="150"/>
      <c r="Q48" t="s">
        <v>85</v>
      </c>
    </row>
    <row r="49" spans="1:16" ht="21" customHeight="1">
      <c r="A49" s="35"/>
      <c r="B49" s="54" t="s">
        <v>14</v>
      </c>
      <c r="C49" s="33"/>
      <c r="D49" s="33">
        <f>SUM(D43:D48)</f>
        <v>5</v>
      </c>
      <c r="E49" s="38">
        <f aca="true" t="shared" si="2" ref="E49:K49">SUM(E43:E48)</f>
        <v>24174</v>
      </c>
      <c r="F49" s="33">
        <f t="shared" si="2"/>
        <v>0</v>
      </c>
      <c r="G49" s="33">
        <f t="shared" si="2"/>
        <v>0</v>
      </c>
      <c r="H49" s="33">
        <f t="shared" si="2"/>
        <v>0</v>
      </c>
      <c r="I49" s="33">
        <f t="shared" si="2"/>
        <v>2989.2000000000003</v>
      </c>
      <c r="J49" s="33">
        <f t="shared" si="2"/>
        <v>0</v>
      </c>
      <c r="K49" s="33">
        <f t="shared" si="2"/>
        <v>0</v>
      </c>
      <c r="L49" s="38">
        <f>SUM(L43:L48)</f>
        <v>27163.199999999997</v>
      </c>
      <c r="M49" s="38">
        <f>SUM(M43:M48)</f>
        <v>325958.39999999997</v>
      </c>
      <c r="N49" s="171">
        <f>SUM(N43:N48)</f>
        <v>6984</v>
      </c>
      <c r="O49" s="172"/>
      <c r="P49" s="30"/>
    </row>
    <row r="50" spans="1:18" ht="30" customHeight="1">
      <c r="A50" s="39"/>
      <c r="B50" s="182" t="s">
        <v>65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4"/>
      <c r="N50" s="80"/>
      <c r="O50" s="80"/>
      <c r="P50" s="80"/>
      <c r="Q50" s="79"/>
      <c r="R50" s="79">
        <f>SUM(R44:R49)</f>
        <v>4772</v>
      </c>
    </row>
    <row r="51" spans="1:17" ht="27" customHeight="1">
      <c r="A51" s="61">
        <v>1</v>
      </c>
      <c r="B51" s="53" t="s">
        <v>66</v>
      </c>
      <c r="C51" s="28">
        <v>14</v>
      </c>
      <c r="D51" s="41">
        <v>1</v>
      </c>
      <c r="E51" s="42">
        <v>5087</v>
      </c>
      <c r="F51" s="43"/>
      <c r="G51" s="43"/>
      <c r="H51" s="43"/>
      <c r="I51" s="28"/>
      <c r="J51" s="43"/>
      <c r="K51" s="43"/>
      <c r="L51" s="31">
        <f>SUM(E51:K51)</f>
        <v>5087</v>
      </c>
      <c r="M51" s="31">
        <f>L51*D51*12</f>
        <v>61044</v>
      </c>
      <c r="N51" s="30"/>
      <c r="O51" s="30"/>
      <c r="P51" s="30"/>
      <c r="Q51" t="s">
        <v>86</v>
      </c>
    </row>
    <row r="52" spans="1:18" ht="37.5" customHeight="1">
      <c r="A52" s="61">
        <v>2</v>
      </c>
      <c r="B52" s="53" t="s">
        <v>39</v>
      </c>
      <c r="C52" s="28">
        <v>12</v>
      </c>
      <c r="D52" s="41">
        <v>2</v>
      </c>
      <c r="E52" s="42">
        <v>4456</v>
      </c>
      <c r="F52" s="43"/>
      <c r="G52" s="43"/>
      <c r="H52" s="43"/>
      <c r="I52" s="28"/>
      <c r="J52" s="43"/>
      <c r="K52" s="43"/>
      <c r="L52" s="31">
        <f>(E52+F52+G52+H52+I52+J52)*D52</f>
        <v>8912</v>
      </c>
      <c r="M52" s="31">
        <f>L52*12</f>
        <v>106944</v>
      </c>
      <c r="N52" s="30"/>
      <c r="O52" s="30">
        <v>6408</v>
      </c>
      <c r="P52" s="30"/>
      <c r="Q52" t="s">
        <v>87</v>
      </c>
      <c r="R52">
        <v>4456</v>
      </c>
    </row>
    <row r="53" spans="1:19" ht="31.5" customHeight="1">
      <c r="A53" s="61">
        <v>3</v>
      </c>
      <c r="B53" s="53" t="s">
        <v>31</v>
      </c>
      <c r="C53" s="28">
        <v>11</v>
      </c>
      <c r="D53" s="41">
        <v>3</v>
      </c>
      <c r="E53" s="42">
        <v>4141</v>
      </c>
      <c r="F53" s="43"/>
      <c r="G53" s="43"/>
      <c r="H53" s="43"/>
      <c r="I53" s="28"/>
      <c r="J53" s="43"/>
      <c r="K53" s="43"/>
      <c r="L53" s="31">
        <f>SUM(E53:K53)*D53</f>
        <v>12423</v>
      </c>
      <c r="M53" s="31">
        <f>L53*12</f>
        <v>149076</v>
      </c>
      <c r="N53" s="30"/>
      <c r="O53" s="30">
        <v>20952</v>
      </c>
      <c r="P53" s="30"/>
      <c r="Q53" t="s">
        <v>88</v>
      </c>
      <c r="R53">
        <v>4141</v>
      </c>
      <c r="S53">
        <f>R52+R53-U51</f>
        <v>8597</v>
      </c>
    </row>
    <row r="54" spans="1:16" ht="20.25" customHeight="1">
      <c r="A54" s="40"/>
      <c r="B54" s="55" t="s">
        <v>14</v>
      </c>
      <c r="C54" s="33"/>
      <c r="D54" s="33">
        <f>SUM(D51:D53)</f>
        <v>6</v>
      </c>
      <c r="E54" s="38">
        <f>SUM(E51:E53)</f>
        <v>13684</v>
      </c>
      <c r="F54" s="44"/>
      <c r="G54" s="44"/>
      <c r="H54" s="44"/>
      <c r="I54" s="33"/>
      <c r="J54" s="44"/>
      <c r="K54" s="44"/>
      <c r="L54" s="38">
        <f>SUM(L51:L53)</f>
        <v>26422</v>
      </c>
      <c r="M54" s="38">
        <f>SUM(M51:M53)</f>
        <v>317064</v>
      </c>
      <c r="N54" s="30"/>
      <c r="O54" s="30">
        <f>O52+O53</f>
        <v>27360</v>
      </c>
      <c r="P54" s="30"/>
    </row>
    <row r="55" spans="1:18" ht="21" customHeight="1">
      <c r="A55" s="182" t="s">
        <v>28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63"/>
      <c r="O55" s="163"/>
      <c r="P55" s="163"/>
      <c r="Q55" s="79"/>
      <c r="R55" s="79">
        <f>SUM(R52:R54)</f>
        <v>8597</v>
      </c>
    </row>
    <row r="56" spans="1:20" ht="25.5" customHeight="1">
      <c r="A56" s="27">
        <v>1</v>
      </c>
      <c r="B56" s="73" t="s">
        <v>15</v>
      </c>
      <c r="C56" s="27">
        <v>14</v>
      </c>
      <c r="D56" s="28">
        <v>1</v>
      </c>
      <c r="E56" s="31">
        <v>5087</v>
      </c>
      <c r="F56" s="28"/>
      <c r="G56" s="28"/>
      <c r="H56" s="28"/>
      <c r="I56" s="31"/>
      <c r="J56" s="28"/>
      <c r="K56" s="27"/>
      <c r="L56" s="31">
        <f>SUM(E56:K56)</f>
        <v>5087</v>
      </c>
      <c r="M56" s="31">
        <f>L56*12</f>
        <v>61044</v>
      </c>
      <c r="N56" s="150"/>
      <c r="O56" s="150"/>
      <c r="P56" s="150"/>
      <c r="Q56" t="s">
        <v>90</v>
      </c>
      <c r="T56">
        <f>E56*30%</f>
        <v>1526.1</v>
      </c>
    </row>
    <row r="57" spans="1:18" ht="21" customHeight="1">
      <c r="A57" s="27">
        <v>2</v>
      </c>
      <c r="B57" s="73" t="s">
        <v>123</v>
      </c>
      <c r="C57" s="27">
        <v>12</v>
      </c>
      <c r="D57" s="28">
        <v>1</v>
      </c>
      <c r="E57" s="31">
        <v>4456</v>
      </c>
      <c r="F57" s="28"/>
      <c r="G57" s="28"/>
      <c r="H57" s="28"/>
      <c r="I57" s="31"/>
      <c r="J57" s="28"/>
      <c r="K57" s="27"/>
      <c r="L57" s="31">
        <f>E57*D57+I57</f>
        <v>4456</v>
      </c>
      <c r="M57" s="31">
        <f>L57*12</f>
        <v>53472</v>
      </c>
      <c r="N57" s="150">
        <f>(4723-L57)*12</f>
        <v>3204</v>
      </c>
      <c r="O57" s="150"/>
      <c r="P57" s="150"/>
      <c r="Q57" t="s">
        <v>89</v>
      </c>
      <c r="R57">
        <v>4456</v>
      </c>
    </row>
    <row r="58" spans="1:18" ht="21" customHeight="1">
      <c r="A58" s="27">
        <v>3</v>
      </c>
      <c r="B58" s="73" t="s">
        <v>123</v>
      </c>
      <c r="C58" s="27">
        <v>12</v>
      </c>
      <c r="D58" s="28">
        <v>1</v>
      </c>
      <c r="E58" s="31">
        <v>4456</v>
      </c>
      <c r="F58" s="28"/>
      <c r="G58" s="28"/>
      <c r="H58" s="28"/>
      <c r="I58" s="31"/>
      <c r="J58" s="28"/>
      <c r="K58" s="27"/>
      <c r="L58" s="31">
        <f>E58*D58+I58</f>
        <v>4456</v>
      </c>
      <c r="M58" s="31">
        <f>L58*12</f>
        <v>53472</v>
      </c>
      <c r="N58" s="30"/>
      <c r="O58" s="30">
        <f>(4723-L58)*12</f>
        <v>3204</v>
      </c>
      <c r="P58" s="30"/>
      <c r="Q58" t="s">
        <v>91</v>
      </c>
      <c r="R58">
        <v>820</v>
      </c>
    </row>
    <row r="59" spans="1:18" ht="23.25" customHeight="1">
      <c r="A59" s="27">
        <v>4</v>
      </c>
      <c r="B59" s="73" t="s">
        <v>123</v>
      </c>
      <c r="C59" s="27">
        <v>12</v>
      </c>
      <c r="D59" s="28">
        <v>1</v>
      </c>
      <c r="E59" s="31">
        <v>4456</v>
      </c>
      <c r="F59" s="28"/>
      <c r="G59" s="28"/>
      <c r="H59" s="28"/>
      <c r="I59" s="31">
        <f>E59*10%</f>
        <v>445.6</v>
      </c>
      <c r="J59" s="28"/>
      <c r="K59" s="27"/>
      <c r="L59" s="31">
        <f>E59*D59+I59</f>
        <v>4901.6</v>
      </c>
      <c r="M59" s="31">
        <f>L59*12</f>
        <v>58819.200000000004</v>
      </c>
      <c r="N59" s="30"/>
      <c r="O59" s="30"/>
      <c r="P59" s="30"/>
      <c r="R59">
        <v>820</v>
      </c>
    </row>
    <row r="60" spans="1:18" ht="21" customHeight="1">
      <c r="A60" s="27">
        <v>5</v>
      </c>
      <c r="B60" s="73" t="s">
        <v>123</v>
      </c>
      <c r="C60" s="27">
        <v>12</v>
      </c>
      <c r="D60" s="28">
        <v>0.75</v>
      </c>
      <c r="E60" s="31">
        <v>4456</v>
      </c>
      <c r="F60" s="28"/>
      <c r="G60" s="28"/>
      <c r="H60" s="28"/>
      <c r="I60" s="31"/>
      <c r="J60" s="28"/>
      <c r="K60" s="27"/>
      <c r="L60" s="31">
        <f>(E60+I60)*D60</f>
        <v>3342</v>
      </c>
      <c r="M60" s="84">
        <f>L60*12</f>
        <v>40104</v>
      </c>
      <c r="N60" s="30"/>
      <c r="O60" s="30">
        <f>(3542.25-L60)*12</f>
        <v>2403</v>
      </c>
      <c r="P60" s="30"/>
      <c r="Q60" t="s">
        <v>92</v>
      </c>
      <c r="R60">
        <v>615</v>
      </c>
    </row>
    <row r="61" spans="1:16" ht="15">
      <c r="A61" s="35"/>
      <c r="B61" s="54" t="s">
        <v>14</v>
      </c>
      <c r="C61" s="35"/>
      <c r="D61" s="33">
        <f>SUM(D56:D60)</f>
        <v>4.75</v>
      </c>
      <c r="E61" s="36">
        <f>SUM(E56:E60)</f>
        <v>22911</v>
      </c>
      <c r="F61" s="32"/>
      <c r="G61" s="32"/>
      <c r="H61" s="32"/>
      <c r="I61" s="36">
        <f>I56+I57*2</f>
        <v>0</v>
      </c>
      <c r="J61" s="32"/>
      <c r="K61" s="32"/>
      <c r="L61" s="36">
        <f>SUM(L56:L60)</f>
        <v>22242.6</v>
      </c>
      <c r="M61" s="58">
        <f>SUM(M56:M60)</f>
        <v>266911.2</v>
      </c>
      <c r="N61" s="150">
        <f>N57+O58+O59+O60</f>
        <v>8811</v>
      </c>
      <c r="O61" s="150"/>
      <c r="P61" s="150"/>
    </row>
    <row r="62" spans="1:18" ht="24" customHeight="1">
      <c r="A62" s="182" t="s">
        <v>59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4"/>
      <c r="N62" s="163"/>
      <c r="O62" s="163"/>
      <c r="P62" s="163"/>
      <c r="Q62" s="79"/>
      <c r="R62" s="79">
        <f>SUM(R57:R61)</f>
        <v>6711</v>
      </c>
    </row>
    <row r="63" spans="1:17" ht="36" customHeight="1">
      <c r="A63" s="27">
        <v>1</v>
      </c>
      <c r="B63" s="51" t="s">
        <v>15</v>
      </c>
      <c r="C63" s="27">
        <v>14</v>
      </c>
      <c r="D63" s="28">
        <v>1</v>
      </c>
      <c r="E63" s="31">
        <v>5087</v>
      </c>
      <c r="F63" s="28">
        <f>E63*0.2</f>
        <v>1017.4000000000001</v>
      </c>
      <c r="G63" s="28"/>
      <c r="H63" s="28"/>
      <c r="I63" s="31">
        <f>(E63*20)/100</f>
        <v>1017.4</v>
      </c>
      <c r="J63" s="28"/>
      <c r="K63" s="27"/>
      <c r="L63" s="31">
        <f>SUM(E63:K63)</f>
        <v>7121.799999999999</v>
      </c>
      <c r="M63" s="31">
        <f>L63*12</f>
        <v>85461.59999999999</v>
      </c>
      <c r="N63" s="150"/>
      <c r="O63" s="150"/>
      <c r="P63" s="150"/>
      <c r="Q63" t="s">
        <v>93</v>
      </c>
    </row>
    <row r="64" spans="1:18" ht="20.25" customHeight="1">
      <c r="A64" s="27">
        <v>2</v>
      </c>
      <c r="B64" s="73" t="s">
        <v>123</v>
      </c>
      <c r="C64" s="27">
        <v>12</v>
      </c>
      <c r="D64" s="28">
        <v>1</v>
      </c>
      <c r="E64" s="31">
        <v>4456</v>
      </c>
      <c r="F64" s="28"/>
      <c r="G64" s="28"/>
      <c r="H64" s="28"/>
      <c r="I64" s="31"/>
      <c r="J64" s="28"/>
      <c r="K64" s="27"/>
      <c r="L64" s="31">
        <f>SUM(E64:K64)</f>
        <v>4456</v>
      </c>
      <c r="M64" s="31">
        <f>L64*12</f>
        <v>53472</v>
      </c>
      <c r="N64" s="150">
        <f>(4723-L64)*12</f>
        <v>3204</v>
      </c>
      <c r="O64" s="150"/>
      <c r="P64" s="150"/>
      <c r="Q64" t="s">
        <v>81</v>
      </c>
      <c r="R64">
        <v>4456</v>
      </c>
    </row>
    <row r="65" spans="1:18" ht="18.75" customHeight="1">
      <c r="A65" s="27">
        <v>3</v>
      </c>
      <c r="B65" s="73" t="s">
        <v>123</v>
      </c>
      <c r="C65" s="27">
        <v>12</v>
      </c>
      <c r="D65" s="28">
        <v>1</v>
      </c>
      <c r="E65" s="31">
        <v>4456</v>
      </c>
      <c r="F65" s="28"/>
      <c r="G65" s="28"/>
      <c r="H65" s="28"/>
      <c r="I65" s="31">
        <f>E65*0.3</f>
        <v>1336.8</v>
      </c>
      <c r="J65" s="28"/>
      <c r="K65" s="27"/>
      <c r="L65" s="31">
        <f>SUM(E65:K65)</f>
        <v>5792.8</v>
      </c>
      <c r="M65" s="31">
        <f>L65*12</f>
        <v>69513.6</v>
      </c>
      <c r="N65" s="30"/>
      <c r="O65" s="30"/>
      <c r="P65" s="30"/>
      <c r="Q65" t="s">
        <v>94</v>
      </c>
      <c r="R65">
        <v>820</v>
      </c>
    </row>
    <row r="66" spans="1:18" ht="21" customHeight="1">
      <c r="A66" s="27">
        <v>4</v>
      </c>
      <c r="B66" s="73" t="s">
        <v>123</v>
      </c>
      <c r="C66" s="27">
        <v>12</v>
      </c>
      <c r="D66" s="28">
        <v>1</v>
      </c>
      <c r="E66" s="31">
        <v>4456</v>
      </c>
      <c r="F66" s="28"/>
      <c r="G66" s="28"/>
      <c r="H66" s="28"/>
      <c r="I66" s="31"/>
      <c r="J66" s="28"/>
      <c r="K66" s="27"/>
      <c r="L66" s="31">
        <f>SUM(E66:K66)</f>
        <v>4456</v>
      </c>
      <c r="M66" s="31">
        <f>L66*12</f>
        <v>53472</v>
      </c>
      <c r="N66" s="30"/>
      <c r="O66" s="30">
        <f>(4723-L66)*12</f>
        <v>3204</v>
      </c>
      <c r="P66" s="30"/>
      <c r="Q66" t="s">
        <v>81</v>
      </c>
      <c r="R66">
        <v>4456</v>
      </c>
    </row>
    <row r="67" spans="1:16" ht="15">
      <c r="A67" s="35"/>
      <c r="B67" s="54" t="s">
        <v>14</v>
      </c>
      <c r="C67" s="35"/>
      <c r="D67" s="33">
        <f>SUM(D63:D66)</f>
        <v>4</v>
      </c>
      <c r="E67" s="36">
        <f>SUM(E63:E66)</f>
        <v>18455</v>
      </c>
      <c r="F67" s="32">
        <f>SUM(F63:F64)</f>
        <v>1017.4000000000001</v>
      </c>
      <c r="G67" s="32"/>
      <c r="H67" s="32"/>
      <c r="I67" s="36">
        <f>SUM(I63:I66)</f>
        <v>2354.2</v>
      </c>
      <c r="J67" s="32"/>
      <c r="K67" s="32"/>
      <c r="L67" s="36">
        <f>SUM(L63:L66)</f>
        <v>21826.6</v>
      </c>
      <c r="M67" s="36">
        <f>SUM(M63:M66)</f>
        <v>261919.19999999998</v>
      </c>
      <c r="N67" s="150">
        <f>N64+O65+O66</f>
        <v>6408</v>
      </c>
      <c r="O67" s="150"/>
      <c r="P67" s="150"/>
    </row>
    <row r="68" spans="1:18" ht="29.25" customHeight="1">
      <c r="A68" s="182" t="s">
        <v>60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4"/>
      <c r="N68" s="163"/>
      <c r="O68" s="163"/>
      <c r="P68" s="163"/>
      <c r="Q68" s="79"/>
      <c r="R68" s="79">
        <f>SUM(R64:R67)</f>
        <v>9732</v>
      </c>
    </row>
    <row r="69" spans="1:20" ht="19.5" customHeight="1">
      <c r="A69" s="27">
        <v>1</v>
      </c>
      <c r="B69" s="51" t="s">
        <v>15</v>
      </c>
      <c r="C69" s="27">
        <v>14</v>
      </c>
      <c r="D69" s="28">
        <v>1</v>
      </c>
      <c r="E69" s="31">
        <v>5087</v>
      </c>
      <c r="F69" s="28"/>
      <c r="G69" s="28"/>
      <c r="H69" s="28"/>
      <c r="I69" s="28">
        <f>E69*0.1</f>
        <v>508.70000000000005</v>
      </c>
      <c r="J69" s="27"/>
      <c r="K69" s="28"/>
      <c r="L69" s="28">
        <f>SUM(E69:K69)</f>
        <v>5595.7</v>
      </c>
      <c r="M69" s="28">
        <f>L69*12</f>
        <v>67148.4</v>
      </c>
      <c r="N69" s="181"/>
      <c r="O69" s="181"/>
      <c r="P69" s="181"/>
      <c r="Q69" t="s">
        <v>95</v>
      </c>
      <c r="T69">
        <f>E69*50%</f>
        <v>2543.5</v>
      </c>
    </row>
    <row r="70" spans="1:17" ht="19.5" customHeight="1">
      <c r="A70" s="27">
        <v>2</v>
      </c>
      <c r="B70" s="73" t="s">
        <v>124</v>
      </c>
      <c r="C70" s="27">
        <v>10</v>
      </c>
      <c r="D70" s="28">
        <v>1</v>
      </c>
      <c r="E70" s="31">
        <v>3826</v>
      </c>
      <c r="F70" s="28"/>
      <c r="G70" s="28"/>
      <c r="H70" s="28"/>
      <c r="I70" s="28"/>
      <c r="J70" s="27"/>
      <c r="K70" s="28"/>
      <c r="L70" s="28">
        <f>SUM(E70:K70)</f>
        <v>3826</v>
      </c>
      <c r="M70" s="28">
        <f>L70*12</f>
        <v>45912</v>
      </c>
      <c r="N70" s="181">
        <f>(4723-L70)*12</f>
        <v>10764</v>
      </c>
      <c r="O70" s="181"/>
      <c r="P70" s="181"/>
      <c r="Q70" t="s">
        <v>96</v>
      </c>
    </row>
    <row r="71" spans="1:17" ht="19.5" customHeight="1">
      <c r="A71" s="27">
        <v>3</v>
      </c>
      <c r="B71" s="73" t="s">
        <v>124</v>
      </c>
      <c r="C71" s="27">
        <v>10</v>
      </c>
      <c r="D71" s="28">
        <v>1</v>
      </c>
      <c r="E71" s="31">
        <v>3826</v>
      </c>
      <c r="F71" s="28"/>
      <c r="G71" s="28"/>
      <c r="H71" s="28"/>
      <c r="I71" s="28"/>
      <c r="J71" s="27"/>
      <c r="K71" s="28"/>
      <c r="L71" s="28">
        <f>E71</f>
        <v>3826</v>
      </c>
      <c r="M71" s="28">
        <f>L71*12</f>
        <v>45912</v>
      </c>
      <c r="N71" s="181">
        <f>(4723-L71)*12</f>
        <v>10764</v>
      </c>
      <c r="O71" s="181"/>
      <c r="P71" s="181"/>
      <c r="Q71" t="s">
        <v>97</v>
      </c>
    </row>
    <row r="72" spans="1:16" ht="15">
      <c r="A72" s="35"/>
      <c r="B72" s="54" t="s">
        <v>14</v>
      </c>
      <c r="C72" s="35"/>
      <c r="D72" s="33">
        <f>SUM(D69:D71)</f>
        <v>3</v>
      </c>
      <c r="E72" s="36">
        <f>SUM(E69:E71)</f>
        <v>12739</v>
      </c>
      <c r="F72" s="32"/>
      <c r="G72" s="32"/>
      <c r="H72" s="32"/>
      <c r="I72" s="32">
        <v>414.1</v>
      </c>
      <c r="J72" s="32"/>
      <c r="K72" s="32"/>
      <c r="L72" s="32">
        <f>SUM(L69:L71)</f>
        <v>13247.7</v>
      </c>
      <c r="M72" s="32">
        <f>SUM(M69:M71)</f>
        <v>158972.4</v>
      </c>
      <c r="N72" s="187">
        <f>N69+N70+N71</f>
        <v>21528</v>
      </c>
      <c r="O72" s="188"/>
      <c r="P72" s="189"/>
    </row>
    <row r="73" spans="1:18" ht="31.5" customHeight="1">
      <c r="A73" s="182" t="s">
        <v>61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4"/>
      <c r="N73" s="163"/>
      <c r="O73" s="163"/>
      <c r="P73" s="163"/>
      <c r="Q73" s="79"/>
      <c r="R73" s="79"/>
    </row>
    <row r="74" spans="1:17" ht="16.5" customHeight="1">
      <c r="A74" s="27">
        <v>1</v>
      </c>
      <c r="B74" s="51" t="s">
        <v>62</v>
      </c>
      <c r="C74" s="27">
        <v>5</v>
      </c>
      <c r="D74" s="41">
        <v>1</v>
      </c>
      <c r="E74" s="31">
        <v>2859</v>
      </c>
      <c r="F74" s="43"/>
      <c r="G74" s="43"/>
      <c r="H74" s="43"/>
      <c r="I74" s="43"/>
      <c r="J74" s="43"/>
      <c r="K74" s="37"/>
      <c r="L74" s="31">
        <f>E74</f>
        <v>2859</v>
      </c>
      <c r="M74" s="31">
        <f>L74*12</f>
        <v>34308</v>
      </c>
      <c r="N74" s="185">
        <f>(4723-L74)*12</f>
        <v>22368</v>
      </c>
      <c r="O74" s="186"/>
      <c r="P74" s="45"/>
      <c r="Q74" t="s">
        <v>98</v>
      </c>
    </row>
    <row r="75" spans="1:17" ht="16.5" customHeight="1">
      <c r="A75" s="27">
        <v>2</v>
      </c>
      <c r="B75" s="51" t="s">
        <v>32</v>
      </c>
      <c r="C75" s="27">
        <v>2</v>
      </c>
      <c r="D75" s="41">
        <v>1</v>
      </c>
      <c r="E75" s="31">
        <v>2291</v>
      </c>
      <c r="F75" s="43"/>
      <c r="G75" s="43"/>
      <c r="H75" s="43"/>
      <c r="I75" s="43"/>
      <c r="J75" s="43"/>
      <c r="K75" s="37"/>
      <c r="L75" s="31">
        <f>E75</f>
        <v>2291</v>
      </c>
      <c r="M75" s="31">
        <f>L75*12</f>
        <v>27492</v>
      </c>
      <c r="N75" s="46"/>
      <c r="O75" s="47">
        <f>(4723-L75)*12</f>
        <v>29184</v>
      </c>
      <c r="P75" s="48"/>
      <c r="Q75" t="s">
        <v>99</v>
      </c>
    </row>
    <row r="76" spans="1:17" ht="18" customHeight="1">
      <c r="A76" s="27">
        <v>3</v>
      </c>
      <c r="B76" s="51" t="s">
        <v>18</v>
      </c>
      <c r="C76" s="27">
        <v>3</v>
      </c>
      <c r="D76" s="41">
        <v>1</v>
      </c>
      <c r="E76" s="31">
        <v>2480</v>
      </c>
      <c r="F76" s="28"/>
      <c r="G76" s="28"/>
      <c r="H76" s="5">
        <f>(E76*25)/100</f>
        <v>620</v>
      </c>
      <c r="I76" s="5"/>
      <c r="J76" s="5">
        <v>620</v>
      </c>
      <c r="K76" s="27"/>
      <c r="L76" s="31">
        <f>SUM(E76:J76)</f>
        <v>3720</v>
      </c>
      <c r="M76" s="31">
        <f aca="true" t="shared" si="3" ref="M76:M82">L76*12</f>
        <v>44640</v>
      </c>
      <c r="N76" s="181">
        <f>(4723-L76)*12</f>
        <v>12036</v>
      </c>
      <c r="O76" s="181"/>
      <c r="P76" s="181"/>
      <c r="Q76" t="s">
        <v>100</v>
      </c>
    </row>
    <row r="77" spans="1:18" ht="15" customHeight="1">
      <c r="A77" s="27">
        <v>4</v>
      </c>
      <c r="B77" s="51" t="s">
        <v>29</v>
      </c>
      <c r="C77" s="27">
        <v>3</v>
      </c>
      <c r="D77" s="41">
        <v>1</v>
      </c>
      <c r="E77" s="31">
        <v>2480</v>
      </c>
      <c r="F77" s="28"/>
      <c r="G77" s="28"/>
      <c r="H77" s="5">
        <f>(E77*25)/100</f>
        <v>620</v>
      </c>
      <c r="I77" s="5"/>
      <c r="J77" s="5">
        <f>SUM(J76)</f>
        <v>620</v>
      </c>
      <c r="K77" s="27"/>
      <c r="L77" s="31">
        <f>SUM(E77:J77)</f>
        <v>3720</v>
      </c>
      <c r="M77" s="31">
        <f t="shared" si="3"/>
        <v>44640</v>
      </c>
      <c r="N77" s="49"/>
      <c r="O77" s="49">
        <f>(4723-L77)*12</f>
        <v>12036</v>
      </c>
      <c r="P77" s="49"/>
      <c r="Q77" t="s">
        <v>81</v>
      </c>
      <c r="R77">
        <v>4723</v>
      </c>
    </row>
    <row r="78" spans="1:17" ht="18.75" customHeight="1">
      <c r="A78" s="27">
        <v>5</v>
      </c>
      <c r="B78" s="51" t="s">
        <v>134</v>
      </c>
      <c r="C78" s="27">
        <v>3</v>
      </c>
      <c r="D78" s="41">
        <v>1</v>
      </c>
      <c r="E78" s="31">
        <v>2480</v>
      </c>
      <c r="F78" s="28"/>
      <c r="G78" s="28"/>
      <c r="H78" s="5">
        <f>(E78*25)/100</f>
        <v>620</v>
      </c>
      <c r="I78" s="5"/>
      <c r="J78" s="5">
        <v>620</v>
      </c>
      <c r="K78" s="27"/>
      <c r="L78" s="31">
        <f>SUM(E78:J78)</f>
        <v>3720</v>
      </c>
      <c r="M78" s="31">
        <f t="shared" si="3"/>
        <v>44640</v>
      </c>
      <c r="N78" s="181">
        <f>(4723-L78)*12</f>
        <v>12036</v>
      </c>
      <c r="O78" s="181"/>
      <c r="P78" s="181"/>
      <c r="Q78" t="s">
        <v>129</v>
      </c>
    </row>
    <row r="79" spans="1:17" ht="17.25" customHeight="1">
      <c r="A79" s="27">
        <v>6</v>
      </c>
      <c r="B79" s="51" t="s">
        <v>30</v>
      </c>
      <c r="C79" s="27">
        <v>2</v>
      </c>
      <c r="D79" s="41">
        <v>1</v>
      </c>
      <c r="E79" s="31">
        <v>2291</v>
      </c>
      <c r="F79" s="28"/>
      <c r="G79" s="28"/>
      <c r="H79" s="28"/>
      <c r="I79" s="28"/>
      <c r="J79" s="28"/>
      <c r="K79" s="27"/>
      <c r="L79" s="31">
        <f>E79</f>
        <v>2291</v>
      </c>
      <c r="M79" s="31">
        <f t="shared" si="3"/>
        <v>27492</v>
      </c>
      <c r="N79" s="181">
        <f>(4723-L79)*12</f>
        <v>29184</v>
      </c>
      <c r="O79" s="181"/>
      <c r="P79" s="181"/>
      <c r="Q79" t="s">
        <v>101</v>
      </c>
    </row>
    <row r="80" spans="1:17" ht="17.25" customHeight="1">
      <c r="A80" s="27">
        <v>7</v>
      </c>
      <c r="B80" s="51" t="s">
        <v>19</v>
      </c>
      <c r="C80" s="27">
        <v>1</v>
      </c>
      <c r="D80" s="41">
        <v>3</v>
      </c>
      <c r="E80" s="31">
        <v>2102</v>
      </c>
      <c r="F80" s="28"/>
      <c r="G80" s="28"/>
      <c r="H80" s="28"/>
      <c r="I80" s="28"/>
      <c r="J80" s="28"/>
      <c r="K80" s="27"/>
      <c r="L80" s="31">
        <f>(E80*D80)</f>
        <v>6306</v>
      </c>
      <c r="M80" s="31">
        <f>L80*12</f>
        <v>75672</v>
      </c>
      <c r="N80" s="181">
        <f>((4723-E80)*12)*D80</f>
        <v>94356</v>
      </c>
      <c r="O80" s="181"/>
      <c r="P80" s="181"/>
      <c r="Q80" s="82"/>
    </row>
    <row r="81" spans="1:19" ht="13.5" customHeight="1">
      <c r="A81" s="27">
        <v>8</v>
      </c>
      <c r="B81" s="51" t="s">
        <v>20</v>
      </c>
      <c r="C81" s="27">
        <v>1</v>
      </c>
      <c r="D81" s="41">
        <v>2</v>
      </c>
      <c r="E81" s="31">
        <v>2102</v>
      </c>
      <c r="F81" s="28"/>
      <c r="G81" s="28"/>
      <c r="H81" s="28"/>
      <c r="I81" s="28"/>
      <c r="J81" s="28"/>
      <c r="K81" s="28">
        <v>210.2</v>
      </c>
      <c r="L81" s="31">
        <f>(E81+K81)*D81</f>
        <v>4624.4</v>
      </c>
      <c r="M81" s="31">
        <f>L81*12</f>
        <v>55492.799999999996</v>
      </c>
      <c r="N81" s="181">
        <f>((4173-E81)*2)*12+2522</f>
        <v>52226</v>
      </c>
      <c r="O81" s="181"/>
      <c r="P81" s="181"/>
      <c r="Q81" t="s">
        <v>103</v>
      </c>
      <c r="S81" s="22"/>
    </row>
    <row r="82" spans="1:17" ht="15">
      <c r="A82" s="27">
        <v>9</v>
      </c>
      <c r="B82" s="51" t="s">
        <v>21</v>
      </c>
      <c r="C82" s="27">
        <v>1</v>
      </c>
      <c r="D82" s="41">
        <v>1</v>
      </c>
      <c r="E82" s="31">
        <v>2102</v>
      </c>
      <c r="F82" s="28"/>
      <c r="G82" s="28"/>
      <c r="H82" s="28"/>
      <c r="I82" s="28"/>
      <c r="J82" s="28"/>
      <c r="K82" s="27"/>
      <c r="L82" s="50">
        <f>E82</f>
        <v>2102</v>
      </c>
      <c r="M82" s="31">
        <f t="shared" si="3"/>
        <v>25224</v>
      </c>
      <c r="N82" s="181">
        <f>(4723-E82)*12</f>
        <v>31452</v>
      </c>
      <c r="O82" s="181"/>
      <c r="P82" s="181"/>
      <c r="Q82" t="s">
        <v>102</v>
      </c>
    </row>
    <row r="83" spans="1:18" ht="15">
      <c r="A83" s="35"/>
      <c r="B83" s="52" t="s">
        <v>14</v>
      </c>
      <c r="C83" s="32" t="s">
        <v>33</v>
      </c>
      <c r="D83" s="33">
        <f>SUM(D74:D82)</f>
        <v>12</v>
      </c>
      <c r="E83" s="36">
        <f>SUM(E74:E82)</f>
        <v>21187</v>
      </c>
      <c r="F83" s="32"/>
      <c r="G83" s="32"/>
      <c r="H83" s="32">
        <f>SUM(H74:H82)</f>
        <v>1860</v>
      </c>
      <c r="I83" s="32"/>
      <c r="J83" s="32">
        <f>SUM(J74:J82)</f>
        <v>1860</v>
      </c>
      <c r="K83" s="32">
        <f>K81</f>
        <v>210.2</v>
      </c>
      <c r="L83" s="36">
        <f>SUM(L74:L82)</f>
        <v>31633.4</v>
      </c>
      <c r="M83" s="36">
        <f>SUM(M74:M82)</f>
        <v>379600.8</v>
      </c>
      <c r="N83" s="163">
        <f>N74+O75+N76+O77+N78+N79+N80+N81</f>
        <v>263426</v>
      </c>
      <c r="O83" s="163"/>
      <c r="P83" s="163"/>
      <c r="Q83" s="79"/>
      <c r="R83" s="79">
        <f>SUM(R77:R82)</f>
        <v>4723</v>
      </c>
    </row>
    <row r="84" spans="1:20" ht="15">
      <c r="A84" s="35"/>
      <c r="B84" s="56" t="s">
        <v>22</v>
      </c>
      <c r="C84" s="57"/>
      <c r="D84" s="58">
        <f>D83+D72+D67+D61+D54+D49+D41+D35+D26</f>
        <v>50.75</v>
      </c>
      <c r="E84" s="58">
        <f>E83+E72+E67+E61+E54+E49+E41+E35+E26</f>
        <v>187127</v>
      </c>
      <c r="F84" s="58">
        <f>F83+F72+F67+F61+F54+F49+F41+F35+F26</f>
        <v>2131.8</v>
      </c>
      <c r="G84" s="58">
        <f>G83+G72+G67+G61+G54+G49+G41+G35+G26</f>
        <v>2932.5</v>
      </c>
      <c r="H84" s="58">
        <f>H83+H72+H67+H61+H54+H49+H41+H35+H26</f>
        <v>1860</v>
      </c>
      <c r="I84" s="58">
        <f>I72+I67+I49+I35+I26</f>
        <v>10703.8</v>
      </c>
      <c r="J84" s="58">
        <f>J83+J72+J67+J61+J54+J49+J41+J35+J26</f>
        <v>1860</v>
      </c>
      <c r="K84" s="58">
        <f>K83+K72+K67+K61+K54+K49+K41+K35+K26</f>
        <v>210.2</v>
      </c>
      <c r="L84" s="58">
        <f>L83+L72+L67+L61+L54+L49+L41+L35+L26</f>
        <v>225505.7</v>
      </c>
      <c r="M84" s="58">
        <f>M83+M72+M67+M61+M54+M49+M41+M35+M26</f>
        <v>2706068.4</v>
      </c>
      <c r="N84" s="58">
        <f>N83+N72+N67+N61+N54+N49+N41+N35+N26</f>
        <v>356784</v>
      </c>
      <c r="O84" s="58">
        <f>N83+N72+N67+N61+O54+N49+N41+N25+N35</f>
        <v>387348</v>
      </c>
      <c r="P84" s="59"/>
      <c r="R84">
        <f>R83+R73+R68+R62+R55+R50+R42+R36</f>
        <v>47273</v>
      </c>
      <c r="T84">
        <f>SUM(T21:T83)</f>
        <v>34068.299999999996</v>
      </c>
    </row>
    <row r="85" spans="1:13" ht="17.25">
      <c r="A85" s="1"/>
      <c r="B85" s="1"/>
      <c r="C85" s="1"/>
      <c r="D85" s="1"/>
      <c r="E85" s="71"/>
      <c r="F85" s="1"/>
      <c r="G85" s="1"/>
      <c r="H85" s="1"/>
      <c r="I85" s="1"/>
      <c r="J85" s="1"/>
      <c r="K85" s="1"/>
      <c r="L85" s="26"/>
      <c r="M85" s="86"/>
    </row>
    <row r="86" spans="1:15" ht="30" customHeight="1">
      <c r="A86" s="1"/>
      <c r="B86" s="1"/>
      <c r="C86" s="145" t="s">
        <v>64</v>
      </c>
      <c r="D86" s="145"/>
      <c r="E86" s="145"/>
      <c r="F86" s="145"/>
      <c r="G86" s="145"/>
      <c r="H86" s="145"/>
      <c r="I86" s="145"/>
      <c r="J86" s="145"/>
      <c r="K86" s="145"/>
      <c r="L86" s="145"/>
      <c r="M86" s="85"/>
      <c r="N86" s="62"/>
      <c r="O86" s="62"/>
    </row>
    <row r="87" spans="1:15" ht="31.5" customHeight="1">
      <c r="A87" s="1"/>
      <c r="B87" s="1"/>
      <c r="C87" s="146" t="s">
        <v>63</v>
      </c>
      <c r="D87" s="146"/>
      <c r="E87" s="146"/>
      <c r="F87" s="146"/>
      <c r="G87" s="146"/>
      <c r="H87" s="146"/>
      <c r="I87" s="146"/>
      <c r="J87" s="146"/>
      <c r="K87" s="146"/>
      <c r="L87" s="146"/>
      <c r="M87" s="63"/>
      <c r="N87" s="63"/>
      <c r="O87" s="63"/>
    </row>
    <row r="88" spans="1:2" ht="45.75" customHeight="1">
      <c r="A88" s="1"/>
      <c r="B88" s="1"/>
    </row>
    <row r="89" spans="5:15" ht="18">
      <c r="E89" s="2"/>
      <c r="F89" s="2"/>
      <c r="G89" s="2"/>
      <c r="H89" s="2"/>
      <c r="I89" s="2"/>
      <c r="J89" s="2"/>
      <c r="O89" s="22"/>
    </row>
    <row r="91" ht="18">
      <c r="L91" s="2"/>
    </row>
  </sheetData>
  <sheetProtection/>
  <mergeCells count="86">
    <mergeCell ref="N83:P83"/>
    <mergeCell ref="N68:P68"/>
    <mergeCell ref="N55:P55"/>
    <mergeCell ref="N76:P76"/>
    <mergeCell ref="N78:P78"/>
    <mergeCell ref="A1:E8"/>
    <mergeCell ref="H1:M13"/>
    <mergeCell ref="N32:O32"/>
    <mergeCell ref="N41:P41"/>
    <mergeCell ref="N79:P79"/>
    <mergeCell ref="G43:G44"/>
    <mergeCell ref="I43:I44"/>
    <mergeCell ref="H43:H44"/>
    <mergeCell ref="N70:P70"/>
    <mergeCell ref="N82:P82"/>
    <mergeCell ref="N74:O74"/>
    <mergeCell ref="N72:P72"/>
    <mergeCell ref="N71:P71"/>
    <mergeCell ref="N81:P81"/>
    <mergeCell ref="N73:P73"/>
    <mergeCell ref="N80:P80"/>
    <mergeCell ref="N64:P64"/>
    <mergeCell ref="N67:P67"/>
    <mergeCell ref="B50:M50"/>
    <mergeCell ref="A55:M55"/>
    <mergeCell ref="N63:P63"/>
    <mergeCell ref="N69:P69"/>
    <mergeCell ref="A62:M62"/>
    <mergeCell ref="A68:M68"/>
    <mergeCell ref="A73:M73"/>
    <mergeCell ref="N38:P38"/>
    <mergeCell ref="N45:P45"/>
    <mergeCell ref="N33:P33"/>
    <mergeCell ref="A43:A44"/>
    <mergeCell ref="B43:B44"/>
    <mergeCell ref="F43:F44"/>
    <mergeCell ref="J43:J44"/>
    <mergeCell ref="D43:D44"/>
    <mergeCell ref="A42:M42"/>
    <mergeCell ref="E43:E44"/>
    <mergeCell ref="N46:P46"/>
    <mergeCell ref="N48:P48"/>
    <mergeCell ref="N62:P62"/>
    <mergeCell ref="N56:P56"/>
    <mergeCell ref="N57:P57"/>
    <mergeCell ref="N61:P61"/>
    <mergeCell ref="N49:O49"/>
    <mergeCell ref="N42:P42"/>
    <mergeCell ref="N43:P44"/>
    <mergeCell ref="N34:O34"/>
    <mergeCell ref="N39:P39"/>
    <mergeCell ref="N40:O40"/>
    <mergeCell ref="A36:M36"/>
    <mergeCell ref="K43:K44"/>
    <mergeCell ref="L43:L44"/>
    <mergeCell ref="M43:M44"/>
    <mergeCell ref="N35:P35"/>
    <mergeCell ref="N37:P37"/>
    <mergeCell ref="N36:P36"/>
    <mergeCell ref="N19:O19"/>
    <mergeCell ref="N28:P28"/>
    <mergeCell ref="N29:O29"/>
    <mergeCell ref="N30:O30"/>
    <mergeCell ref="N31:O31"/>
    <mergeCell ref="N21:P21"/>
    <mergeCell ref="N22:P22"/>
    <mergeCell ref="A27:K27"/>
    <mergeCell ref="D17:D19"/>
    <mergeCell ref="N27:P27"/>
    <mergeCell ref="A14:M14"/>
    <mergeCell ref="A15:M15"/>
    <mergeCell ref="A16:M16"/>
    <mergeCell ref="I17:K18"/>
    <mergeCell ref="A17:A19"/>
    <mergeCell ref="B17:B19"/>
    <mergeCell ref="L17:L19"/>
    <mergeCell ref="M17:M19"/>
    <mergeCell ref="F17:H18"/>
    <mergeCell ref="C86:L86"/>
    <mergeCell ref="C87:L87"/>
    <mergeCell ref="E17:E19"/>
    <mergeCell ref="N23:P23"/>
    <mergeCell ref="N24:P24"/>
    <mergeCell ref="N26:P26"/>
    <mergeCell ref="N25:O25"/>
    <mergeCell ref="N20:P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3"/>
  <sheetViews>
    <sheetView zoomScalePageLayoutView="0" workbookViewId="0" topLeftCell="A7">
      <selection activeCell="P38" sqref="P38"/>
    </sheetView>
  </sheetViews>
  <sheetFormatPr defaultColWidth="9.00390625" defaultRowHeight="12.75"/>
  <cols>
    <col min="1" max="1" width="5.875" style="0" customWidth="1"/>
    <col min="5" max="5" width="10.50390625" style="0" bestFit="1" customWidth="1"/>
    <col min="6" max="7" width="9.50390625" style="0" bestFit="1" customWidth="1"/>
    <col min="9" max="9" width="3.50390625" style="0" customWidth="1"/>
    <col min="10" max="10" width="9.50390625" style="0" bestFit="1" customWidth="1"/>
    <col min="12" max="12" width="3.125" style="0" customWidth="1"/>
    <col min="13" max="13" width="9.50390625" style="0" bestFit="1" customWidth="1"/>
    <col min="14" max="14" width="13.875" style="0" customWidth="1"/>
  </cols>
  <sheetData>
    <row r="1" ht="1.5" customHeight="1"/>
    <row r="3" spans="2:14" ht="12.75">
      <c r="B3" s="202" t="s">
        <v>110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4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12.75">
      <c r="B5" s="202" t="s">
        <v>109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2:14" ht="12.75">
      <c r="B6" s="200"/>
      <c r="C6" s="200"/>
      <c r="D6" s="200"/>
      <c r="E6" s="200"/>
      <c r="F6" s="200" t="s">
        <v>41</v>
      </c>
      <c r="G6" s="200"/>
      <c r="H6" s="200"/>
      <c r="I6" s="200"/>
      <c r="J6" s="200" t="s">
        <v>23</v>
      </c>
      <c r="K6" s="200"/>
      <c r="L6" s="200"/>
      <c r="M6" s="200"/>
      <c r="N6" s="200" t="s">
        <v>51</v>
      </c>
    </row>
    <row r="7" spans="2:14" ht="12.75"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2:14" ht="12.75">
      <c r="B8" s="200" t="s">
        <v>42</v>
      </c>
      <c r="C8" s="200" t="s">
        <v>43</v>
      </c>
      <c r="D8" s="200"/>
      <c r="E8" s="200" t="s">
        <v>44</v>
      </c>
      <c r="F8" s="201" t="s">
        <v>45</v>
      </c>
      <c r="G8" s="201" t="s">
        <v>46</v>
      </c>
      <c r="H8" s="200" t="s">
        <v>47</v>
      </c>
      <c r="I8" s="200"/>
      <c r="J8" s="201" t="s">
        <v>48</v>
      </c>
      <c r="K8" s="201" t="s">
        <v>49</v>
      </c>
      <c r="L8" s="201"/>
      <c r="M8" s="201" t="s">
        <v>50</v>
      </c>
      <c r="N8" s="200"/>
    </row>
    <row r="9" spans="2:14" ht="27" customHeight="1">
      <c r="B9" s="200"/>
      <c r="C9" s="200"/>
      <c r="D9" s="200"/>
      <c r="E9" s="200"/>
      <c r="F9" s="201"/>
      <c r="G9" s="201"/>
      <c r="H9" s="200"/>
      <c r="I9" s="200"/>
      <c r="J9" s="201"/>
      <c r="K9" s="201"/>
      <c r="L9" s="201"/>
      <c r="M9" s="201"/>
      <c r="N9" s="200"/>
    </row>
    <row r="10" spans="2:14" ht="21" customHeight="1">
      <c r="B10" s="18">
        <v>1</v>
      </c>
      <c r="C10" s="198" t="s">
        <v>53</v>
      </c>
      <c r="D10" s="199"/>
      <c r="E10" s="21">
        <f>'штатний без усіх складових (1)'!E85*12</f>
        <v>0</v>
      </c>
      <c r="F10" s="21">
        <v>25581</v>
      </c>
      <c r="G10" s="21">
        <v>35190</v>
      </c>
      <c r="H10" s="196">
        <v>22320</v>
      </c>
      <c r="I10" s="197"/>
      <c r="J10" s="21">
        <v>152105.4</v>
      </c>
      <c r="K10" s="196">
        <v>22320</v>
      </c>
      <c r="L10" s="197"/>
      <c r="M10" s="21">
        <v>2522.4</v>
      </c>
      <c r="N10" s="21">
        <f>SUM(E10:M10)</f>
        <v>260038.8</v>
      </c>
    </row>
    <row r="11" spans="2:14" ht="19.5" customHeight="1">
      <c r="B11" s="198" t="s">
        <v>52</v>
      </c>
      <c r="C11" s="203"/>
      <c r="D11" s="199"/>
      <c r="E11" s="21"/>
      <c r="F11" s="18"/>
      <c r="G11" s="18"/>
      <c r="H11" s="198"/>
      <c r="I11" s="199"/>
      <c r="J11" s="18"/>
      <c r="K11" s="198"/>
      <c r="L11" s="199"/>
      <c r="M11" s="18"/>
      <c r="N11" s="21"/>
    </row>
    <row r="12" spans="2:14" ht="23.25" customHeight="1">
      <c r="B12" s="18"/>
      <c r="C12" s="198"/>
      <c r="D12" s="199"/>
      <c r="E12" s="21">
        <f>E10</f>
        <v>0</v>
      </c>
      <c r="F12" s="21">
        <f>F10</f>
        <v>25581</v>
      </c>
      <c r="G12" s="21">
        <f>G10</f>
        <v>35190</v>
      </c>
      <c r="H12" s="196">
        <f>H10</f>
        <v>22320</v>
      </c>
      <c r="I12" s="197"/>
      <c r="J12" s="21">
        <f>J10</f>
        <v>152105.4</v>
      </c>
      <c r="K12" s="196">
        <f>K10</f>
        <v>22320</v>
      </c>
      <c r="L12" s="197"/>
      <c r="M12" s="21">
        <f>M10</f>
        <v>2522.4</v>
      </c>
      <c r="N12" s="21">
        <f>N10</f>
        <v>260038.8</v>
      </c>
    </row>
    <row r="13" spans="2:14" ht="0.7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12.75" hidden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ht="13.5" hidden="1" thickBo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ht="12.75" hidden="1"/>
    <row r="18" spans="3:13" ht="12.75">
      <c r="C18" s="195" t="s">
        <v>115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  <row r="20" spans="4:14" ht="12.75">
      <c r="D20" s="195" t="s">
        <v>106</v>
      </c>
      <c r="E20" s="195"/>
      <c r="F20" s="195"/>
      <c r="G20" s="195"/>
      <c r="H20" s="195"/>
      <c r="I20" s="25"/>
      <c r="J20" s="67">
        <f>F12+G12+H12</f>
        <v>83091</v>
      </c>
      <c r="K20" s="25"/>
      <c r="L20" s="25"/>
      <c r="M20" s="25"/>
      <c r="N20" s="22"/>
    </row>
    <row r="22" spans="4:14" ht="12.75">
      <c r="D22" s="195" t="s">
        <v>107</v>
      </c>
      <c r="E22" s="195"/>
      <c r="F22" s="195"/>
      <c r="G22" s="195"/>
      <c r="H22" s="195"/>
      <c r="I22" s="25"/>
      <c r="J22" s="67">
        <f>J12+K12+M12</f>
        <v>176947.8</v>
      </c>
      <c r="K22" s="25"/>
      <c r="L22" s="25"/>
      <c r="M22" s="25"/>
      <c r="N22" s="22"/>
    </row>
    <row r="24" spans="5:13" ht="12.75">
      <c r="E24" s="193" t="s">
        <v>114</v>
      </c>
      <c r="F24" s="193"/>
      <c r="G24" s="193"/>
      <c r="H24" s="193"/>
      <c r="I24" s="193"/>
      <c r="J24" s="193"/>
      <c r="K24" s="193"/>
      <c r="L24" s="193"/>
      <c r="M24" s="193"/>
    </row>
    <row r="26" spans="5:13" ht="12.75">
      <c r="E26" s="68" t="s">
        <v>108</v>
      </c>
      <c r="F26" s="68"/>
      <c r="G26" s="68"/>
      <c r="H26" s="68"/>
      <c r="I26" s="68"/>
      <c r="J26" s="68"/>
      <c r="K26" s="68"/>
      <c r="L26" s="68"/>
      <c r="M26" s="68"/>
    </row>
    <row r="28" spans="3:13" ht="12.75">
      <c r="C28" s="195" t="s">
        <v>119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30" spans="3:13" ht="12.75">
      <c r="C30" s="25" t="s">
        <v>55</v>
      </c>
      <c r="D30" s="25"/>
      <c r="E30" s="25"/>
      <c r="F30" s="25"/>
      <c r="G30" s="25"/>
      <c r="H30" s="25"/>
      <c r="I30" s="25"/>
      <c r="J30" s="25"/>
      <c r="K30" s="25"/>
      <c r="L30" s="194">
        <f>'штатний без усіх складових (1)'!O84</f>
        <v>387348</v>
      </c>
      <c r="M30" s="193"/>
    </row>
    <row r="32" spans="4:13" ht="12.75">
      <c r="D32" s="204" t="s">
        <v>105</v>
      </c>
      <c r="E32" s="204"/>
      <c r="F32" s="204"/>
      <c r="G32" s="204"/>
      <c r="H32" s="204"/>
      <c r="I32" s="204"/>
      <c r="J32" s="204"/>
      <c r="K32" s="25"/>
      <c r="L32" s="194"/>
      <c r="M32" s="193"/>
    </row>
    <row r="33" ht="12.75">
      <c r="N33" s="22"/>
    </row>
    <row r="34" spans="3:13" ht="12.75">
      <c r="C34" s="195" t="s">
        <v>54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3:13" ht="12.75">
      <c r="C35" s="195" t="s">
        <v>111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7" spans="3:14" ht="12.75">
      <c r="C37" s="192" t="s">
        <v>116</v>
      </c>
      <c r="D37" s="192"/>
      <c r="E37" s="192"/>
      <c r="F37" s="192"/>
      <c r="G37" s="192"/>
      <c r="H37" s="192"/>
      <c r="I37" s="192"/>
      <c r="J37" s="192"/>
      <c r="K37" s="192"/>
      <c r="L37" s="192"/>
      <c r="M37" s="70"/>
      <c r="N37" s="70"/>
    </row>
    <row r="38" spans="3:14" ht="12.7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69"/>
    </row>
    <row r="39" spans="3:14" ht="12.75">
      <c r="C39" s="192" t="s">
        <v>118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6:10" ht="12.75">
      <c r="F40" s="195" t="s">
        <v>117</v>
      </c>
      <c r="G40" s="195"/>
      <c r="H40" s="195"/>
      <c r="I40" s="195"/>
      <c r="J40" s="195"/>
    </row>
    <row r="41" spans="6:14" ht="12.75">
      <c r="F41" s="195" t="s">
        <v>113</v>
      </c>
      <c r="G41" s="195"/>
      <c r="H41" s="195"/>
      <c r="I41" s="195"/>
      <c r="J41" s="195"/>
      <c r="M41" s="22"/>
      <c r="N41" s="22"/>
    </row>
    <row r="43" spans="5:11" ht="12.75">
      <c r="E43" s="195"/>
      <c r="F43" s="195"/>
      <c r="G43" s="195"/>
      <c r="H43" s="195"/>
      <c r="J43" s="195"/>
      <c r="K43" s="195"/>
    </row>
  </sheetData>
  <sheetProtection/>
  <mergeCells count="40">
    <mergeCell ref="F40:J40"/>
    <mergeCell ref="F41:J41"/>
    <mergeCell ref="E43:H43"/>
    <mergeCell ref="J43:K43"/>
    <mergeCell ref="J8:J9"/>
    <mergeCell ref="D32:J32"/>
    <mergeCell ref="C28:M28"/>
    <mergeCell ref="C18:M18"/>
    <mergeCell ref="D20:H20"/>
    <mergeCell ref="C12:D12"/>
    <mergeCell ref="C8:D9"/>
    <mergeCell ref="E8:E9"/>
    <mergeCell ref="F8:F9"/>
    <mergeCell ref="B11:D11"/>
    <mergeCell ref="K8:L9"/>
    <mergeCell ref="C10:D10"/>
    <mergeCell ref="H10:I10"/>
    <mergeCell ref="H11:I11"/>
    <mergeCell ref="N6:N9"/>
    <mergeCell ref="M8:M9"/>
    <mergeCell ref="B3:N3"/>
    <mergeCell ref="B5:N5"/>
    <mergeCell ref="B6:E7"/>
    <mergeCell ref="J6:M7"/>
    <mergeCell ref="F6:I7"/>
    <mergeCell ref="G8:G9"/>
    <mergeCell ref="H8:I9"/>
    <mergeCell ref="B8:B9"/>
    <mergeCell ref="H12:I12"/>
    <mergeCell ref="K10:L10"/>
    <mergeCell ref="K11:L11"/>
    <mergeCell ref="K12:L12"/>
    <mergeCell ref="D22:H22"/>
    <mergeCell ref="C35:M35"/>
    <mergeCell ref="C39:N39"/>
    <mergeCell ref="E24:M24"/>
    <mergeCell ref="L30:M30"/>
    <mergeCell ref="C34:M34"/>
    <mergeCell ref="L32:M32"/>
    <mergeCell ref="C37:L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T91"/>
  <sheetViews>
    <sheetView zoomScale="90" zoomScaleNormal="90" zoomScalePageLayoutView="0" workbookViewId="0" topLeftCell="A19">
      <selection activeCell="A73" sqref="A73:M73"/>
    </sheetView>
  </sheetViews>
  <sheetFormatPr defaultColWidth="9.00390625" defaultRowHeight="12.75"/>
  <cols>
    <col min="1" max="1" width="4.50390625" style="0" customWidth="1"/>
    <col min="2" max="2" width="21.00390625" style="0" customWidth="1"/>
    <col min="3" max="3" width="7.50390625" style="0" customWidth="1"/>
    <col min="4" max="4" width="6.50390625" style="0" customWidth="1"/>
    <col min="5" max="5" width="14.375" style="0" customWidth="1"/>
    <col min="6" max="6" width="9.875" style="0" customWidth="1"/>
    <col min="7" max="7" width="11.50390625" style="0" customWidth="1"/>
    <col min="8" max="8" width="10.50390625" style="0" customWidth="1"/>
    <col min="9" max="9" width="12.50390625" style="0" customWidth="1"/>
    <col min="10" max="10" width="10.125" style="0" customWidth="1"/>
    <col min="11" max="11" width="9.00390625" style="0" customWidth="1"/>
    <col min="12" max="12" width="13.875" style="0" customWidth="1"/>
    <col min="13" max="13" width="18.375" style="0" customWidth="1"/>
    <col min="14" max="14" width="0.37109375" style="0" hidden="1" customWidth="1"/>
    <col min="15" max="15" width="12.375" style="0" customWidth="1"/>
    <col min="16" max="16" width="9.125" style="0" hidden="1" customWidth="1"/>
    <col min="17" max="17" width="13.375" style="0" customWidth="1"/>
    <col min="19" max="19" width="18.125" style="0" customWidth="1"/>
  </cols>
  <sheetData>
    <row r="1" spans="1:13" ht="18" customHeight="1">
      <c r="A1" s="190" t="s">
        <v>127</v>
      </c>
      <c r="B1" s="190"/>
      <c r="C1" s="190"/>
      <c r="D1" s="190"/>
      <c r="E1" s="190"/>
      <c r="F1" s="10"/>
      <c r="G1" s="10"/>
      <c r="H1" s="191" t="s">
        <v>131</v>
      </c>
      <c r="I1" s="191"/>
      <c r="J1" s="191"/>
      <c r="K1" s="191"/>
      <c r="L1" s="191"/>
      <c r="M1" s="191"/>
    </row>
    <row r="2" spans="1:13" ht="18" customHeight="1">
      <c r="A2" s="190"/>
      <c r="B2" s="190"/>
      <c r="C2" s="190"/>
      <c r="D2" s="190"/>
      <c r="E2" s="190"/>
      <c r="F2" s="10"/>
      <c r="G2" s="10"/>
      <c r="H2" s="191"/>
      <c r="I2" s="191"/>
      <c r="J2" s="191"/>
      <c r="K2" s="191"/>
      <c r="L2" s="191"/>
      <c r="M2" s="191"/>
    </row>
    <row r="3" spans="1:19" ht="18" customHeight="1">
      <c r="A3" s="190"/>
      <c r="B3" s="190"/>
      <c r="C3" s="190"/>
      <c r="D3" s="190"/>
      <c r="E3" s="190"/>
      <c r="F3" s="10"/>
      <c r="G3" s="10"/>
      <c r="H3" s="191"/>
      <c r="I3" s="191"/>
      <c r="J3" s="191"/>
      <c r="K3" s="191"/>
      <c r="L3" s="191"/>
      <c r="M3" s="191"/>
      <c r="S3" s="20"/>
    </row>
    <row r="4" spans="1:19" ht="18.75" customHeight="1">
      <c r="A4" s="190"/>
      <c r="B4" s="190"/>
      <c r="C4" s="190"/>
      <c r="D4" s="190"/>
      <c r="E4" s="190"/>
      <c r="F4" s="3"/>
      <c r="G4" s="3"/>
      <c r="H4" s="191"/>
      <c r="I4" s="191"/>
      <c r="J4" s="191"/>
      <c r="K4" s="191"/>
      <c r="L4" s="191"/>
      <c r="M4" s="191"/>
      <c r="S4" s="20"/>
    </row>
    <row r="5" spans="1:19" ht="18.75" customHeight="1">
      <c r="A5" s="190"/>
      <c r="B5" s="190"/>
      <c r="C5" s="190"/>
      <c r="D5" s="190"/>
      <c r="E5" s="190"/>
      <c r="F5" s="3"/>
      <c r="G5" s="3"/>
      <c r="H5" s="191"/>
      <c r="I5" s="191"/>
      <c r="J5" s="191"/>
      <c r="K5" s="191"/>
      <c r="L5" s="191"/>
      <c r="M5" s="191"/>
      <c r="S5" s="60"/>
    </row>
    <row r="6" spans="1:19" ht="18.75" customHeight="1">
      <c r="A6" s="190"/>
      <c r="B6" s="190"/>
      <c r="C6" s="190"/>
      <c r="D6" s="190"/>
      <c r="E6" s="190"/>
      <c r="F6" s="3"/>
      <c r="G6" s="3"/>
      <c r="H6" s="191"/>
      <c r="I6" s="191"/>
      <c r="J6" s="191"/>
      <c r="K6" s="191"/>
      <c r="L6" s="191"/>
      <c r="M6" s="191"/>
      <c r="S6" s="20"/>
    </row>
    <row r="7" spans="1:19" ht="18.75" customHeight="1">
      <c r="A7" s="190"/>
      <c r="B7" s="190"/>
      <c r="C7" s="190"/>
      <c r="D7" s="190"/>
      <c r="E7" s="190"/>
      <c r="F7" s="3"/>
      <c r="G7" s="3"/>
      <c r="H7" s="191"/>
      <c r="I7" s="191"/>
      <c r="J7" s="191"/>
      <c r="K7" s="191"/>
      <c r="L7" s="191"/>
      <c r="M7" s="191"/>
      <c r="S7" s="20"/>
    </row>
    <row r="8" spans="1:15" ht="18.75" customHeight="1">
      <c r="A8" s="190"/>
      <c r="B8" s="190"/>
      <c r="C8" s="190"/>
      <c r="D8" s="190"/>
      <c r="E8" s="190"/>
      <c r="F8" s="3"/>
      <c r="G8" s="3"/>
      <c r="H8" s="191"/>
      <c r="I8" s="191"/>
      <c r="J8" s="191"/>
      <c r="K8" s="191"/>
      <c r="L8" s="191"/>
      <c r="M8" s="191"/>
      <c r="O8">
        <v>227031.8</v>
      </c>
    </row>
    <row r="9" spans="1:13" ht="18.75" customHeight="1">
      <c r="A9" s="3"/>
      <c r="B9" s="3"/>
      <c r="C9" s="3"/>
      <c r="D9" s="3"/>
      <c r="E9" s="3"/>
      <c r="F9" s="3"/>
      <c r="G9" s="3"/>
      <c r="H9" s="191"/>
      <c r="I9" s="191"/>
      <c r="J9" s="191"/>
      <c r="K9" s="191"/>
      <c r="L9" s="191"/>
      <c r="M9" s="191"/>
    </row>
    <row r="10" spans="1:13" ht="18.75" customHeight="1">
      <c r="A10" s="3"/>
      <c r="B10" s="3"/>
      <c r="C10" s="3"/>
      <c r="D10" s="3"/>
      <c r="E10" s="3"/>
      <c r="F10" s="3"/>
      <c r="G10" s="3"/>
      <c r="H10" s="191"/>
      <c r="I10" s="191"/>
      <c r="J10" s="191"/>
      <c r="K10" s="191"/>
      <c r="L10" s="191"/>
      <c r="M10" s="191"/>
    </row>
    <row r="11" spans="1:13" ht="18.75" customHeight="1">
      <c r="A11" s="3"/>
      <c r="B11" s="3"/>
      <c r="C11" s="3"/>
      <c r="D11" s="3"/>
      <c r="E11" s="3"/>
      <c r="F11" s="3"/>
      <c r="G11" s="3"/>
      <c r="H11" s="191"/>
      <c r="I11" s="191"/>
      <c r="J11" s="191"/>
      <c r="K11" s="191"/>
      <c r="L11" s="191"/>
      <c r="M11" s="191"/>
    </row>
    <row r="12" spans="1:13" ht="18.75" customHeight="1">
      <c r="A12" s="3"/>
      <c r="B12" s="3"/>
      <c r="C12" s="3"/>
      <c r="D12" s="3"/>
      <c r="E12" s="3"/>
      <c r="F12" s="3"/>
      <c r="G12" s="3"/>
      <c r="H12" s="191"/>
      <c r="I12" s="191"/>
      <c r="J12" s="191"/>
      <c r="K12" s="191"/>
      <c r="L12" s="191"/>
      <c r="M12" s="191"/>
    </row>
    <row r="13" spans="1:13" ht="36" customHeight="1">
      <c r="A13" s="3"/>
      <c r="B13" s="3"/>
      <c r="C13" s="3"/>
      <c r="D13" s="3"/>
      <c r="E13" s="3"/>
      <c r="F13" s="3"/>
      <c r="G13" s="3"/>
      <c r="H13" s="191"/>
      <c r="I13" s="191"/>
      <c r="J13" s="191"/>
      <c r="K13" s="191"/>
      <c r="L13" s="191"/>
      <c r="M13" s="191"/>
    </row>
    <row r="14" spans="1:13" ht="34.5" customHeight="1">
      <c r="A14" s="157" t="s">
        <v>24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30" customHeight="1">
      <c r="A15" s="157" t="s">
        <v>40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30" customHeight="1">
      <c r="A16" s="158" t="s">
        <v>67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2.75" customHeight="1">
      <c r="A17" s="141" t="s">
        <v>0</v>
      </c>
      <c r="B17" s="141" t="s">
        <v>1</v>
      </c>
      <c r="C17" s="14"/>
      <c r="D17" s="141" t="s">
        <v>2</v>
      </c>
      <c r="E17" s="147" t="s">
        <v>3</v>
      </c>
      <c r="F17" s="144" t="s">
        <v>4</v>
      </c>
      <c r="G17" s="144"/>
      <c r="H17" s="144"/>
      <c r="I17" s="159" t="s">
        <v>23</v>
      </c>
      <c r="J17" s="159"/>
      <c r="K17" s="160"/>
      <c r="L17" s="141" t="s">
        <v>5</v>
      </c>
      <c r="M17" s="141" t="s">
        <v>6</v>
      </c>
    </row>
    <row r="18" spans="1:13" ht="6" customHeight="1">
      <c r="A18" s="142"/>
      <c r="B18" s="142"/>
      <c r="C18" s="15"/>
      <c r="D18" s="142"/>
      <c r="E18" s="148"/>
      <c r="F18" s="144"/>
      <c r="G18" s="144"/>
      <c r="H18" s="144"/>
      <c r="I18" s="161"/>
      <c r="J18" s="161"/>
      <c r="K18" s="162"/>
      <c r="L18" s="142"/>
      <c r="M18" s="142"/>
    </row>
    <row r="19" spans="1:20" ht="93" customHeight="1">
      <c r="A19" s="143"/>
      <c r="B19" s="143"/>
      <c r="C19" s="16" t="s">
        <v>58</v>
      </c>
      <c r="D19" s="143"/>
      <c r="E19" s="149"/>
      <c r="F19" s="11" t="s">
        <v>7</v>
      </c>
      <c r="G19" s="11" t="s">
        <v>8</v>
      </c>
      <c r="H19" s="11" t="s">
        <v>9</v>
      </c>
      <c r="I19" s="11" t="s">
        <v>10</v>
      </c>
      <c r="J19" s="12" t="s">
        <v>11</v>
      </c>
      <c r="K19" s="13" t="s">
        <v>12</v>
      </c>
      <c r="L19" s="143"/>
      <c r="M19" s="143"/>
      <c r="N19" s="164" t="s">
        <v>25</v>
      </c>
      <c r="O19" s="165"/>
      <c r="P19" s="4"/>
      <c r="T19" s="81" t="s">
        <v>126</v>
      </c>
    </row>
    <row r="20" spans="1:16" ht="17.25" customHeight="1">
      <c r="A20" s="7">
        <v>1</v>
      </c>
      <c r="B20" s="7">
        <v>2</v>
      </c>
      <c r="C20" s="8"/>
      <c r="D20" s="8">
        <v>3</v>
      </c>
      <c r="E20" s="8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153"/>
      <c r="O20" s="153"/>
      <c r="P20" s="153"/>
    </row>
    <row r="21" spans="1:20" ht="23.25" customHeight="1">
      <c r="A21" s="27">
        <v>1</v>
      </c>
      <c r="B21" s="51" t="s">
        <v>13</v>
      </c>
      <c r="C21" s="27">
        <v>16</v>
      </c>
      <c r="D21" s="28">
        <v>1</v>
      </c>
      <c r="E21" s="5">
        <v>5865</v>
      </c>
      <c r="F21" s="5"/>
      <c r="G21" s="64">
        <f>E21/2</f>
        <v>2932.5</v>
      </c>
      <c r="H21" s="29"/>
      <c r="I21" s="5">
        <f>E21*10%</f>
        <v>586.5</v>
      </c>
      <c r="J21" s="5"/>
      <c r="K21" s="5"/>
      <c r="L21" s="5">
        <f>SUM(E21:K21)</f>
        <v>9384</v>
      </c>
      <c r="M21" s="5">
        <f>L21*12</f>
        <v>112608</v>
      </c>
      <c r="N21" s="150"/>
      <c r="O21" s="150"/>
      <c r="P21" s="150"/>
      <c r="Q21" t="s">
        <v>68</v>
      </c>
      <c r="T21">
        <v>2932.5</v>
      </c>
    </row>
    <row r="22" spans="1:20" ht="63" customHeight="1">
      <c r="A22" s="27">
        <v>2</v>
      </c>
      <c r="B22" s="51" t="s">
        <v>56</v>
      </c>
      <c r="C22" s="27"/>
      <c r="D22" s="28">
        <v>1</v>
      </c>
      <c r="E22" s="83">
        <v>5572</v>
      </c>
      <c r="F22" s="31">
        <f>E22*0.2</f>
        <v>1114.4</v>
      </c>
      <c r="G22" s="5"/>
      <c r="H22" s="29"/>
      <c r="I22" s="64">
        <f>(E22*20)/100</f>
        <v>1114.4</v>
      </c>
      <c r="J22" s="5"/>
      <c r="K22" s="5"/>
      <c r="L22" s="5">
        <f>SUM(E22:K22)</f>
        <v>7800.799999999999</v>
      </c>
      <c r="M22" s="5">
        <f>L22*12</f>
        <v>93609.59999999999</v>
      </c>
      <c r="N22" s="150"/>
      <c r="O22" s="150"/>
      <c r="P22" s="150"/>
      <c r="Q22" t="s">
        <v>69</v>
      </c>
      <c r="T22">
        <f>E22*50%</f>
        <v>2786</v>
      </c>
    </row>
    <row r="23" spans="1:20" ht="60.75" customHeight="1">
      <c r="A23" s="27">
        <v>3</v>
      </c>
      <c r="B23" s="51" t="s">
        <v>35</v>
      </c>
      <c r="C23" s="27"/>
      <c r="D23" s="28">
        <v>1</v>
      </c>
      <c r="E23" s="83">
        <v>5572</v>
      </c>
      <c r="F23" s="5"/>
      <c r="G23" s="5"/>
      <c r="H23" s="29"/>
      <c r="I23" s="64"/>
      <c r="J23" s="5"/>
      <c r="K23" s="5"/>
      <c r="L23" s="5">
        <f>SUM(E23:K23)</f>
        <v>5572</v>
      </c>
      <c r="M23" s="5">
        <f>L23*12</f>
        <v>66864</v>
      </c>
      <c r="N23" s="150"/>
      <c r="O23" s="150"/>
      <c r="P23" s="150"/>
      <c r="Q23" t="s">
        <v>70</v>
      </c>
      <c r="T23">
        <f>E23*50%</f>
        <v>2786</v>
      </c>
    </row>
    <row r="24" spans="1:20" ht="62.25" customHeight="1">
      <c r="A24" s="27">
        <v>4</v>
      </c>
      <c r="B24" s="51" t="s">
        <v>130</v>
      </c>
      <c r="C24" s="27"/>
      <c r="D24" s="28">
        <v>1</v>
      </c>
      <c r="E24" s="83">
        <v>5572</v>
      </c>
      <c r="F24" s="5"/>
      <c r="G24" s="5"/>
      <c r="H24" s="29"/>
      <c r="I24" s="64"/>
      <c r="J24" s="5"/>
      <c r="K24" s="5"/>
      <c r="L24" s="5">
        <f>SUM(E24:K24)</f>
        <v>5572</v>
      </c>
      <c r="M24" s="5">
        <f>L24*12</f>
        <v>66864</v>
      </c>
      <c r="N24" s="150"/>
      <c r="O24" s="150"/>
      <c r="P24" s="150"/>
      <c r="Q24" t="s">
        <v>71</v>
      </c>
      <c r="T24">
        <f>E24*50%</f>
        <v>2786</v>
      </c>
    </row>
    <row r="25" spans="1:17" ht="21" customHeight="1">
      <c r="A25" s="27">
        <v>5</v>
      </c>
      <c r="B25" s="51" t="s">
        <v>57</v>
      </c>
      <c r="C25" s="27">
        <v>12</v>
      </c>
      <c r="D25" s="28">
        <v>1</v>
      </c>
      <c r="E25" s="5">
        <v>4456</v>
      </c>
      <c r="F25" s="5"/>
      <c r="G25" s="5"/>
      <c r="H25" s="29"/>
      <c r="I25" s="5"/>
      <c r="J25" s="5"/>
      <c r="K25" s="5"/>
      <c r="L25" s="5">
        <f>SUM(E25:K25)</f>
        <v>4456</v>
      </c>
      <c r="M25" s="5">
        <f>L25*12</f>
        <v>53472</v>
      </c>
      <c r="N25" s="151">
        <f>(5000-E25)*4</f>
        <v>2176</v>
      </c>
      <c r="O25" s="152"/>
      <c r="P25" s="30"/>
      <c r="Q25" t="s">
        <v>72</v>
      </c>
    </row>
    <row r="26" spans="1:16" ht="15">
      <c r="A26" s="28"/>
      <c r="B26" s="52" t="s">
        <v>14</v>
      </c>
      <c r="C26" s="32"/>
      <c r="D26" s="33">
        <f>SUM(D21:D25)</f>
        <v>5</v>
      </c>
      <c r="E26" s="65">
        <f>E21+E22++E23+E24+E25</f>
        <v>27037</v>
      </c>
      <c r="F26" s="9">
        <f>SUM(F21:F24)</f>
        <v>1114.4</v>
      </c>
      <c r="G26" s="9">
        <f>SUM(G21:G24)</f>
        <v>2932.5</v>
      </c>
      <c r="H26" s="65"/>
      <c r="I26" s="65">
        <f>SUM(I21:I24)</f>
        <v>1700.9</v>
      </c>
      <c r="J26" s="65"/>
      <c r="K26" s="6"/>
      <c r="L26" s="6">
        <f>SUM(L21:L25)</f>
        <v>32784.8</v>
      </c>
      <c r="M26" s="6">
        <f>SUM(M21:M25)</f>
        <v>393417.6</v>
      </c>
      <c r="N26" s="150"/>
      <c r="O26" s="150"/>
      <c r="P26" s="150"/>
    </row>
    <row r="27" spans="1:20" ht="15">
      <c r="A27" s="154" t="s">
        <v>27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6"/>
      <c r="L27" s="34"/>
      <c r="M27" s="34"/>
      <c r="N27" s="150"/>
      <c r="O27" s="150"/>
      <c r="P27" s="150"/>
      <c r="T27">
        <f>SUM(T22:T26)</f>
        <v>8358</v>
      </c>
    </row>
    <row r="28" spans="1:20" ht="38.25" customHeight="1">
      <c r="A28" s="27">
        <v>1</v>
      </c>
      <c r="B28" s="37" t="s">
        <v>15</v>
      </c>
      <c r="C28" s="27">
        <v>14</v>
      </c>
      <c r="D28" s="28">
        <v>1</v>
      </c>
      <c r="E28" s="31">
        <v>5087</v>
      </c>
      <c r="F28" s="31"/>
      <c r="G28" s="28"/>
      <c r="H28" s="28"/>
      <c r="I28" s="5">
        <f>(E28*20)/100</f>
        <v>1017.4</v>
      </c>
      <c r="J28" s="28"/>
      <c r="K28" s="27"/>
      <c r="L28" s="31">
        <f>SUM(E28:K28)</f>
        <v>6104.4</v>
      </c>
      <c r="M28" s="31">
        <f>L28*12</f>
        <v>73252.79999999999</v>
      </c>
      <c r="N28" s="150"/>
      <c r="O28" s="150"/>
      <c r="P28" s="150"/>
      <c r="Q28" t="s">
        <v>73</v>
      </c>
      <c r="T28">
        <f>E28*30%</f>
        <v>1526.1</v>
      </c>
    </row>
    <row r="29" spans="1:17" ht="29.25" customHeight="1">
      <c r="A29" s="27">
        <v>2</v>
      </c>
      <c r="B29" s="72" t="s">
        <v>16</v>
      </c>
      <c r="C29" s="27">
        <v>12</v>
      </c>
      <c r="D29" s="28">
        <v>1</v>
      </c>
      <c r="E29" s="31">
        <v>4456</v>
      </c>
      <c r="F29" s="28"/>
      <c r="G29" s="28"/>
      <c r="H29" s="28"/>
      <c r="I29" s="5">
        <f>E29*20%</f>
        <v>891.2</v>
      </c>
      <c r="J29" s="28"/>
      <c r="K29" s="27"/>
      <c r="L29" s="31">
        <f aca="true" t="shared" si="0" ref="L29:L34">SUM(E29:K29)</f>
        <v>5347.2</v>
      </c>
      <c r="M29" s="31">
        <f aca="true" t="shared" si="1" ref="M29:M34">L29*12</f>
        <v>64166.399999999994</v>
      </c>
      <c r="N29" s="166"/>
      <c r="O29" s="167"/>
      <c r="P29" s="30"/>
      <c r="Q29" t="s">
        <v>74</v>
      </c>
    </row>
    <row r="30" spans="1:18" ht="33.75" customHeight="1">
      <c r="A30" s="27">
        <v>3</v>
      </c>
      <c r="B30" s="72" t="s">
        <v>16</v>
      </c>
      <c r="C30" s="27">
        <v>12</v>
      </c>
      <c r="D30" s="28">
        <v>1</v>
      </c>
      <c r="E30" s="31">
        <v>4456</v>
      </c>
      <c r="F30" s="28"/>
      <c r="G30" s="28"/>
      <c r="H30" s="28"/>
      <c r="I30" s="5">
        <v>445.6</v>
      </c>
      <c r="J30" s="28"/>
      <c r="K30" s="27"/>
      <c r="L30" s="31">
        <f t="shared" si="0"/>
        <v>4901.6</v>
      </c>
      <c r="M30" s="31">
        <f t="shared" si="1"/>
        <v>58819.200000000004</v>
      </c>
      <c r="N30" s="166">
        <f>(5000-L30)*4</f>
        <v>393.59999999999854</v>
      </c>
      <c r="O30" s="167"/>
      <c r="P30" s="30"/>
      <c r="Q30" t="s">
        <v>79</v>
      </c>
      <c r="R30">
        <v>4456</v>
      </c>
    </row>
    <row r="31" spans="1:20" ht="33" customHeight="1">
      <c r="A31" s="27">
        <v>4</v>
      </c>
      <c r="B31" s="72" t="s">
        <v>34</v>
      </c>
      <c r="C31" s="27">
        <v>12</v>
      </c>
      <c r="D31" s="28">
        <v>1</v>
      </c>
      <c r="E31" s="31">
        <v>4456</v>
      </c>
      <c r="F31" s="28"/>
      <c r="G31" s="28"/>
      <c r="H31" s="28"/>
      <c r="I31" s="5">
        <f>E31*20%</f>
        <v>891.2</v>
      </c>
      <c r="J31" s="28"/>
      <c r="K31" s="27"/>
      <c r="L31" s="31">
        <f t="shared" si="0"/>
        <v>5347.2</v>
      </c>
      <c r="M31" s="31">
        <f t="shared" si="1"/>
        <v>64166.399999999994</v>
      </c>
      <c r="N31" s="166"/>
      <c r="O31" s="167"/>
      <c r="P31" s="30"/>
      <c r="Q31" t="s">
        <v>75</v>
      </c>
      <c r="T31">
        <f>E31*10%</f>
        <v>445.6</v>
      </c>
    </row>
    <row r="32" spans="1:18" ht="28.5" customHeight="1">
      <c r="A32" s="27">
        <v>5</v>
      </c>
      <c r="B32" s="72" t="s">
        <v>16</v>
      </c>
      <c r="C32" s="27">
        <v>12</v>
      </c>
      <c r="D32" s="28">
        <v>1</v>
      </c>
      <c r="E32" s="31">
        <v>4456</v>
      </c>
      <c r="F32" s="28"/>
      <c r="G32" s="28"/>
      <c r="H32" s="28"/>
      <c r="I32" s="5"/>
      <c r="J32" s="28"/>
      <c r="K32" s="27"/>
      <c r="L32" s="31">
        <f t="shared" si="0"/>
        <v>4456</v>
      </c>
      <c r="M32" s="31">
        <f t="shared" si="1"/>
        <v>53472</v>
      </c>
      <c r="N32" s="166">
        <f>(5000-L32)*4</f>
        <v>2176</v>
      </c>
      <c r="O32" s="167"/>
      <c r="P32" s="30"/>
      <c r="Q32" t="s">
        <v>76</v>
      </c>
      <c r="R32">
        <v>820</v>
      </c>
    </row>
    <row r="33" spans="1:18" ht="21.75" customHeight="1">
      <c r="A33" s="27">
        <v>6</v>
      </c>
      <c r="B33" s="72" t="s">
        <v>125</v>
      </c>
      <c r="C33" s="27">
        <v>9</v>
      </c>
      <c r="D33" s="28">
        <v>1</v>
      </c>
      <c r="E33" s="31">
        <v>3636</v>
      </c>
      <c r="F33" s="28"/>
      <c r="G33" s="28"/>
      <c r="H33" s="28"/>
      <c r="I33" s="5"/>
      <c r="J33" s="28"/>
      <c r="K33" s="27"/>
      <c r="L33" s="31">
        <f t="shared" si="0"/>
        <v>3636</v>
      </c>
      <c r="M33" s="31">
        <f t="shared" si="1"/>
        <v>43632</v>
      </c>
      <c r="N33" s="150">
        <f>(5000-L33)*4</f>
        <v>5456</v>
      </c>
      <c r="O33" s="150"/>
      <c r="P33" s="150"/>
      <c r="Q33" t="s">
        <v>77</v>
      </c>
      <c r="R33">
        <v>3636</v>
      </c>
    </row>
    <row r="34" spans="1:18" ht="18" customHeight="1">
      <c r="A34" s="27">
        <v>7</v>
      </c>
      <c r="B34" s="72" t="s">
        <v>122</v>
      </c>
      <c r="C34" s="27">
        <v>9</v>
      </c>
      <c r="D34" s="28">
        <v>1</v>
      </c>
      <c r="E34" s="31">
        <v>3636</v>
      </c>
      <c r="F34" s="28"/>
      <c r="G34" s="28"/>
      <c r="H34" s="28"/>
      <c r="I34" s="5"/>
      <c r="J34" s="28"/>
      <c r="K34" s="27"/>
      <c r="L34" s="31">
        <f t="shared" si="0"/>
        <v>3636</v>
      </c>
      <c r="M34" s="31">
        <f t="shared" si="1"/>
        <v>43632</v>
      </c>
      <c r="N34" s="166">
        <f>(5000-L34)*4</f>
        <v>5456</v>
      </c>
      <c r="O34" s="167"/>
      <c r="P34" s="30"/>
      <c r="Q34" t="s">
        <v>78</v>
      </c>
      <c r="R34">
        <v>3636</v>
      </c>
    </row>
    <row r="35" spans="1:16" ht="15">
      <c r="A35" s="35"/>
      <c r="B35" s="44" t="s">
        <v>14</v>
      </c>
      <c r="C35" s="32"/>
      <c r="D35" s="33">
        <f>SUM(D28:D34)</f>
        <v>7</v>
      </c>
      <c r="E35" s="36">
        <f>SUM(E28:E34)</f>
        <v>30183</v>
      </c>
      <c r="F35" s="36">
        <f>SUM(F28:F34)</f>
        <v>0</v>
      </c>
      <c r="G35" s="32"/>
      <c r="H35" s="32"/>
      <c r="I35" s="66">
        <f>SUM(I28:I34)</f>
        <v>3245.3999999999996</v>
      </c>
      <c r="J35" s="32"/>
      <c r="K35" s="32"/>
      <c r="L35" s="36">
        <f>SUM(L28:L34)</f>
        <v>33428.399999999994</v>
      </c>
      <c r="M35" s="36">
        <f>SUM(M28:M34)</f>
        <v>401140.8</v>
      </c>
      <c r="N35" s="150">
        <f>N34+N33+N32</f>
        <v>13088</v>
      </c>
      <c r="O35" s="150"/>
      <c r="P35" s="150"/>
    </row>
    <row r="36" spans="1:19" ht="23.25" customHeight="1">
      <c r="A36" s="154" t="s">
        <v>36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6"/>
      <c r="N36" s="163"/>
      <c r="O36" s="163"/>
      <c r="P36" s="163"/>
      <c r="Q36" s="79"/>
      <c r="R36" s="79">
        <f>SUM(R30:R35)</f>
        <v>12548</v>
      </c>
      <c r="S36" s="17"/>
    </row>
    <row r="37" spans="1:20" ht="24" customHeight="1">
      <c r="A37" s="28">
        <v>1</v>
      </c>
      <c r="B37" s="53" t="s">
        <v>17</v>
      </c>
      <c r="C37" s="28"/>
      <c r="D37" s="28">
        <v>1</v>
      </c>
      <c r="E37" s="84">
        <v>5279</v>
      </c>
      <c r="F37" s="28"/>
      <c r="G37" s="28"/>
      <c r="H37" s="28"/>
      <c r="I37" s="28"/>
      <c r="J37" s="28"/>
      <c r="K37" s="27"/>
      <c r="L37" s="31">
        <f>SUM(E37:K37)</f>
        <v>5279</v>
      </c>
      <c r="M37" s="31">
        <f>L37*12</f>
        <v>63348</v>
      </c>
      <c r="N37" s="150"/>
      <c r="O37" s="150"/>
      <c r="P37" s="150"/>
      <c r="Q37" t="s">
        <v>104</v>
      </c>
      <c r="R37" t="s">
        <v>112</v>
      </c>
      <c r="T37">
        <f>E37*50%</f>
        <v>2639.5</v>
      </c>
    </row>
    <row r="38" spans="1:20" ht="21" customHeight="1">
      <c r="A38" s="27">
        <v>2</v>
      </c>
      <c r="B38" s="51" t="s">
        <v>37</v>
      </c>
      <c r="C38" s="27">
        <v>10</v>
      </c>
      <c r="D38" s="28">
        <v>1</v>
      </c>
      <c r="E38" s="31">
        <v>3826</v>
      </c>
      <c r="F38" s="28"/>
      <c r="G38" s="28"/>
      <c r="H38" s="28"/>
      <c r="I38" s="28"/>
      <c r="J38" s="28"/>
      <c r="K38" s="27"/>
      <c r="L38" s="31">
        <f>SUM(E38:K38)</f>
        <v>3826</v>
      </c>
      <c r="M38" s="31">
        <f>L38*12</f>
        <v>45912</v>
      </c>
      <c r="N38" s="150">
        <f>(5000-L38)*4</f>
        <v>4696</v>
      </c>
      <c r="O38" s="150"/>
      <c r="P38" s="150"/>
      <c r="Q38" t="s">
        <v>80</v>
      </c>
      <c r="T38">
        <f>E38*50%</f>
        <v>1913</v>
      </c>
    </row>
    <row r="39" spans="1:20" ht="19.5" customHeight="1">
      <c r="A39" s="27">
        <v>3</v>
      </c>
      <c r="B39" s="51" t="s">
        <v>37</v>
      </c>
      <c r="C39" s="27">
        <v>10</v>
      </c>
      <c r="D39" s="28">
        <v>1</v>
      </c>
      <c r="E39" s="31">
        <v>3826</v>
      </c>
      <c r="F39" s="28"/>
      <c r="G39" s="28"/>
      <c r="H39" s="28"/>
      <c r="I39" s="28"/>
      <c r="J39" s="28"/>
      <c r="K39" s="27"/>
      <c r="L39" s="31">
        <f>SUM(E39:K39)</f>
        <v>3826</v>
      </c>
      <c r="M39" s="31">
        <f>L39*12</f>
        <v>45912</v>
      </c>
      <c r="N39" s="150">
        <f>(5000-L39)*4</f>
        <v>4696</v>
      </c>
      <c r="O39" s="150"/>
      <c r="P39" s="150"/>
      <c r="Q39" t="s">
        <v>120</v>
      </c>
      <c r="R39">
        <v>190</v>
      </c>
      <c r="T39">
        <f>E39*50%</f>
        <v>1913</v>
      </c>
    </row>
    <row r="40" spans="1:20" ht="19.5" customHeight="1">
      <c r="A40" s="27">
        <v>4</v>
      </c>
      <c r="B40" s="51" t="s">
        <v>26</v>
      </c>
      <c r="C40" s="27">
        <v>10</v>
      </c>
      <c r="D40" s="28">
        <v>1</v>
      </c>
      <c r="E40" s="31">
        <v>3826</v>
      </c>
      <c r="F40" s="28"/>
      <c r="G40" s="28"/>
      <c r="H40" s="28"/>
      <c r="I40" s="28"/>
      <c r="J40" s="28"/>
      <c r="K40" s="27"/>
      <c r="L40" s="31">
        <f>SUM(E40:K40)</f>
        <v>3826</v>
      </c>
      <c r="M40" s="31">
        <f>L40*12</f>
        <v>45912</v>
      </c>
      <c r="N40" s="166">
        <f>(5000-L40)*4</f>
        <v>4696</v>
      </c>
      <c r="O40" s="167"/>
      <c r="P40" s="30"/>
      <c r="Q40" t="s">
        <v>82</v>
      </c>
      <c r="T40">
        <f>E40*50%</f>
        <v>1913</v>
      </c>
    </row>
    <row r="41" spans="1:16" ht="21" customHeight="1">
      <c r="A41" s="35"/>
      <c r="B41" s="52" t="s">
        <v>14</v>
      </c>
      <c r="C41" s="32"/>
      <c r="D41" s="33">
        <f>SUM(D37:D40)</f>
        <v>4</v>
      </c>
      <c r="E41" s="36">
        <f>SUM(E37:E40)</f>
        <v>16757</v>
      </c>
      <c r="F41" s="32"/>
      <c r="G41" s="32"/>
      <c r="H41" s="32"/>
      <c r="I41" s="32"/>
      <c r="J41" s="32"/>
      <c r="K41" s="32"/>
      <c r="L41" s="36">
        <f>SUM(L37:L40)</f>
        <v>16757</v>
      </c>
      <c r="M41" s="36">
        <f>SUM(M37:M40)</f>
        <v>201084</v>
      </c>
      <c r="N41" s="150">
        <f>N39+N38+N40</f>
        <v>14088</v>
      </c>
      <c r="O41" s="150"/>
      <c r="P41" s="150"/>
    </row>
    <row r="42" spans="1:18" ht="27" customHeight="1">
      <c r="A42" s="154" t="s">
        <v>38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6"/>
      <c r="N42" s="163"/>
      <c r="O42" s="163"/>
      <c r="P42" s="163"/>
      <c r="Q42" s="79"/>
      <c r="R42" s="79">
        <f>SUM(R38:R41)</f>
        <v>190</v>
      </c>
    </row>
    <row r="43" spans="1:16" ht="15">
      <c r="A43" s="168">
        <v>1</v>
      </c>
      <c r="B43" s="173" t="s">
        <v>128</v>
      </c>
      <c r="C43" s="77"/>
      <c r="D43" s="177">
        <v>1</v>
      </c>
      <c r="E43" s="179">
        <v>5087</v>
      </c>
      <c r="F43" s="175"/>
      <c r="G43" s="175"/>
      <c r="H43" s="175"/>
      <c r="I43" s="179">
        <f>E43*0.3</f>
        <v>1526.1</v>
      </c>
      <c r="J43" s="175"/>
      <c r="K43" s="168"/>
      <c r="L43" s="170">
        <f>SUM(E43:K44)</f>
        <v>6613.1</v>
      </c>
      <c r="M43" s="170">
        <f>L43*12</f>
        <v>79357.20000000001</v>
      </c>
      <c r="N43" s="150"/>
      <c r="O43" s="150"/>
      <c r="P43" s="150"/>
    </row>
    <row r="44" spans="1:17" ht="33" customHeight="1">
      <c r="A44" s="169"/>
      <c r="B44" s="174"/>
      <c r="C44" s="78">
        <v>14</v>
      </c>
      <c r="D44" s="178"/>
      <c r="E44" s="180"/>
      <c r="F44" s="176"/>
      <c r="G44" s="176"/>
      <c r="H44" s="176"/>
      <c r="I44" s="180"/>
      <c r="J44" s="176"/>
      <c r="K44" s="169"/>
      <c r="L44" s="170"/>
      <c r="M44" s="170"/>
      <c r="N44" s="150"/>
      <c r="O44" s="150"/>
      <c r="P44" s="150"/>
      <c r="Q44" t="s">
        <v>83</v>
      </c>
    </row>
    <row r="45" spans="1:17" ht="37.5" customHeight="1">
      <c r="A45" s="27">
        <v>2</v>
      </c>
      <c r="B45" s="88" t="s">
        <v>128</v>
      </c>
      <c r="C45" s="76">
        <v>14</v>
      </c>
      <c r="D45" s="76">
        <v>1</v>
      </c>
      <c r="E45" s="31">
        <v>5087</v>
      </c>
      <c r="F45" s="28"/>
      <c r="G45" s="28"/>
      <c r="H45" s="28"/>
      <c r="I45" s="31">
        <f>E45*0.2</f>
        <v>1017.4000000000001</v>
      </c>
      <c r="J45" s="28"/>
      <c r="K45" s="27"/>
      <c r="L45" s="31">
        <f>SUM(E45:K45)</f>
        <v>6104.4</v>
      </c>
      <c r="M45" s="31">
        <f>L45*12</f>
        <v>73252.79999999999</v>
      </c>
      <c r="N45" s="150"/>
      <c r="O45" s="150"/>
      <c r="P45" s="150"/>
      <c r="Q45" t="s">
        <v>84</v>
      </c>
    </row>
    <row r="46" spans="1:17" ht="22.5" customHeight="1">
      <c r="A46" s="27">
        <v>3</v>
      </c>
      <c r="B46" s="74" t="s">
        <v>122</v>
      </c>
      <c r="C46" s="76">
        <v>11</v>
      </c>
      <c r="D46" s="76">
        <v>1</v>
      </c>
      <c r="E46" s="31">
        <v>4141</v>
      </c>
      <c r="F46" s="28"/>
      <c r="G46" s="28"/>
      <c r="H46" s="28"/>
      <c r="I46" s="31"/>
      <c r="J46" s="28"/>
      <c r="K46" s="27"/>
      <c r="L46" s="31">
        <f>SUM(E46:K46)</f>
        <v>4141</v>
      </c>
      <c r="M46" s="31">
        <f>L46*12</f>
        <v>49692</v>
      </c>
      <c r="N46" s="150">
        <f>(5000-L46)*4</f>
        <v>3436</v>
      </c>
      <c r="O46" s="150"/>
      <c r="P46" s="150"/>
      <c r="Q46" t="s">
        <v>133</v>
      </c>
    </row>
    <row r="47" spans="1:18" ht="33.75" customHeight="1">
      <c r="A47" s="27">
        <v>4</v>
      </c>
      <c r="B47" s="88" t="s">
        <v>121</v>
      </c>
      <c r="C47" s="76">
        <v>13</v>
      </c>
      <c r="D47" s="76">
        <v>1</v>
      </c>
      <c r="E47" s="31">
        <v>4772</v>
      </c>
      <c r="F47" s="28"/>
      <c r="G47" s="28"/>
      <c r="H47" s="28"/>
      <c r="I47" s="31">
        <f>E47*0.2</f>
        <v>954.4000000000001</v>
      </c>
      <c r="J47" s="28"/>
      <c r="K47" s="27"/>
      <c r="L47" s="31">
        <f>SUM(E47:K47)</f>
        <v>5726.4</v>
      </c>
      <c r="M47" s="31">
        <f>L47*12</f>
        <v>68716.79999999999</v>
      </c>
      <c r="N47" s="30"/>
      <c r="O47" s="30"/>
      <c r="P47" s="30"/>
      <c r="Q47" t="s">
        <v>132</v>
      </c>
      <c r="R47">
        <v>4772</v>
      </c>
    </row>
    <row r="48" spans="1:17" ht="47.25" customHeight="1">
      <c r="A48" s="27">
        <v>5</v>
      </c>
      <c r="B48" s="88" t="s">
        <v>128</v>
      </c>
      <c r="C48" s="76">
        <v>14</v>
      </c>
      <c r="D48" s="76">
        <v>1</v>
      </c>
      <c r="E48" s="31">
        <v>5087</v>
      </c>
      <c r="F48" s="28"/>
      <c r="G48" s="28"/>
      <c r="H48" s="28"/>
      <c r="I48" s="31">
        <f>E48*0.2</f>
        <v>1017.4000000000001</v>
      </c>
      <c r="J48" s="28"/>
      <c r="K48" s="27"/>
      <c r="L48" s="31">
        <f>SUM(E48:K48)</f>
        <v>6104.4</v>
      </c>
      <c r="M48" s="31">
        <f>L48*12</f>
        <v>73252.79999999999</v>
      </c>
      <c r="N48" s="150"/>
      <c r="O48" s="150"/>
      <c r="P48" s="150"/>
      <c r="Q48" t="s">
        <v>85</v>
      </c>
    </row>
    <row r="49" spans="1:16" ht="21" customHeight="1">
      <c r="A49" s="35"/>
      <c r="B49" s="54" t="s">
        <v>14</v>
      </c>
      <c r="C49" s="33"/>
      <c r="D49" s="33">
        <f>SUM(D43:D48)</f>
        <v>5</v>
      </c>
      <c r="E49" s="38">
        <f aca="true" t="shared" si="2" ref="E49:K49">SUM(E43:E48)</f>
        <v>24174</v>
      </c>
      <c r="F49" s="33">
        <f t="shared" si="2"/>
        <v>0</v>
      </c>
      <c r="G49" s="33">
        <f t="shared" si="2"/>
        <v>0</v>
      </c>
      <c r="H49" s="33">
        <f t="shared" si="2"/>
        <v>0</v>
      </c>
      <c r="I49" s="33">
        <f t="shared" si="2"/>
        <v>4515.3</v>
      </c>
      <c r="J49" s="33">
        <f t="shared" si="2"/>
        <v>0</v>
      </c>
      <c r="K49" s="33">
        <f t="shared" si="2"/>
        <v>0</v>
      </c>
      <c r="L49" s="38">
        <f>SUM(L43:L48)</f>
        <v>28689.300000000003</v>
      </c>
      <c r="M49" s="38">
        <f>SUM(M43:M48)</f>
        <v>344271.6</v>
      </c>
      <c r="N49" s="171">
        <f>SUM(N43:N48)</f>
        <v>3436</v>
      </c>
      <c r="O49" s="172"/>
      <c r="P49" s="30"/>
    </row>
    <row r="50" spans="1:18" ht="30" customHeight="1">
      <c r="A50" s="39"/>
      <c r="B50" s="182" t="s">
        <v>65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4"/>
      <c r="N50" s="87"/>
      <c r="O50" s="87"/>
      <c r="P50" s="87"/>
      <c r="Q50" s="79"/>
      <c r="R50" s="79">
        <f>SUM(R44:R49)</f>
        <v>4772</v>
      </c>
    </row>
    <row r="51" spans="1:17" ht="27" customHeight="1">
      <c r="A51" s="61">
        <v>1</v>
      </c>
      <c r="B51" s="53" t="s">
        <v>66</v>
      </c>
      <c r="C51" s="28">
        <v>14</v>
      </c>
      <c r="D51" s="41">
        <v>1</v>
      </c>
      <c r="E51" s="89">
        <v>5087</v>
      </c>
      <c r="F51" s="43"/>
      <c r="G51" s="43"/>
      <c r="H51" s="43"/>
      <c r="I51" s="28"/>
      <c r="J51" s="43"/>
      <c r="K51" s="43"/>
      <c r="L51" s="31">
        <f>SUM(E51:K51)</f>
        <v>5087</v>
      </c>
      <c r="M51" s="31">
        <f>L51*D51*12</f>
        <v>61044</v>
      </c>
      <c r="N51" s="30"/>
      <c r="O51" s="30"/>
      <c r="P51" s="30"/>
      <c r="Q51" t="s">
        <v>86</v>
      </c>
    </row>
    <row r="52" spans="1:18" ht="37.5" customHeight="1">
      <c r="A52" s="61">
        <v>2</v>
      </c>
      <c r="B52" s="53" t="s">
        <v>39</v>
      </c>
      <c r="C52" s="28">
        <v>12</v>
      </c>
      <c r="D52" s="41">
        <v>2</v>
      </c>
      <c r="E52" s="89">
        <v>4456</v>
      </c>
      <c r="F52" s="43"/>
      <c r="G52" s="43"/>
      <c r="H52" s="43"/>
      <c r="I52" s="28"/>
      <c r="J52" s="43"/>
      <c r="K52" s="43"/>
      <c r="L52" s="31">
        <f>(E52+F52+G52+H52+I52+J52)*D52</f>
        <v>8912</v>
      </c>
      <c r="M52" s="31">
        <f>L52*12</f>
        <v>106944</v>
      </c>
      <c r="N52" s="30"/>
      <c r="O52" s="30">
        <f>(5000-E52)*8</f>
        <v>4352</v>
      </c>
      <c r="P52" s="30"/>
      <c r="Q52" t="s">
        <v>87</v>
      </c>
      <c r="R52">
        <v>4456</v>
      </c>
    </row>
    <row r="53" spans="1:19" ht="31.5" customHeight="1">
      <c r="A53" s="61">
        <v>3</v>
      </c>
      <c r="B53" s="53" t="s">
        <v>31</v>
      </c>
      <c r="C53" s="28">
        <v>11</v>
      </c>
      <c r="D53" s="41">
        <v>3</v>
      </c>
      <c r="E53" s="89">
        <v>4141</v>
      </c>
      <c r="F53" s="43"/>
      <c r="G53" s="43"/>
      <c r="H53" s="43"/>
      <c r="I53" s="28"/>
      <c r="J53" s="43"/>
      <c r="K53" s="43"/>
      <c r="L53" s="31">
        <f>SUM(E53:K53)*D53</f>
        <v>12423</v>
      </c>
      <c r="M53" s="31">
        <f>L53*12</f>
        <v>149076</v>
      </c>
      <c r="N53" s="30"/>
      <c r="O53" s="30">
        <f>(5000-E53)*12</f>
        <v>10308</v>
      </c>
      <c r="P53" s="30"/>
      <c r="Q53" t="s">
        <v>88</v>
      </c>
      <c r="R53">
        <v>4141</v>
      </c>
      <c r="S53">
        <f>R52+R53-U51</f>
        <v>8597</v>
      </c>
    </row>
    <row r="54" spans="1:16" ht="20.25" customHeight="1">
      <c r="A54" s="40"/>
      <c r="B54" s="55" t="s">
        <v>14</v>
      </c>
      <c r="C54" s="33"/>
      <c r="D54" s="33">
        <f>SUM(D51:D53)</f>
        <v>6</v>
      </c>
      <c r="E54" s="38">
        <f>SUM(E51:E53)</f>
        <v>13684</v>
      </c>
      <c r="F54" s="44"/>
      <c r="G54" s="44"/>
      <c r="H54" s="44"/>
      <c r="I54" s="33"/>
      <c r="J54" s="44"/>
      <c r="K54" s="44"/>
      <c r="L54" s="38">
        <f>SUM(L51:L53)</f>
        <v>26422</v>
      </c>
      <c r="M54" s="38">
        <f>SUM(M51:M53)</f>
        <v>317064</v>
      </c>
      <c r="N54" s="30"/>
      <c r="O54" s="30">
        <f>O52+O53</f>
        <v>14660</v>
      </c>
      <c r="P54" s="30"/>
    </row>
    <row r="55" spans="1:18" ht="21" customHeight="1">
      <c r="A55" s="182" t="s">
        <v>28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63"/>
      <c r="O55" s="163"/>
      <c r="P55" s="163"/>
      <c r="Q55" s="79"/>
      <c r="R55" s="79">
        <f>SUM(R52:R54)</f>
        <v>8597</v>
      </c>
    </row>
    <row r="56" spans="1:20" ht="25.5" customHeight="1">
      <c r="A56" s="27">
        <v>1</v>
      </c>
      <c r="B56" s="73" t="s">
        <v>15</v>
      </c>
      <c r="C56" s="27">
        <v>14</v>
      </c>
      <c r="D56" s="28">
        <v>1</v>
      </c>
      <c r="E56" s="31">
        <v>5087</v>
      </c>
      <c r="F56" s="28"/>
      <c r="G56" s="28"/>
      <c r="H56" s="28"/>
      <c r="I56" s="31"/>
      <c r="J56" s="28"/>
      <c r="K56" s="27"/>
      <c r="L56" s="31">
        <f>SUM(E56:K56)</f>
        <v>5087</v>
      </c>
      <c r="M56" s="31">
        <f>L56*12</f>
        <v>61044</v>
      </c>
      <c r="N56" s="150"/>
      <c r="O56" s="150"/>
      <c r="P56" s="150"/>
      <c r="Q56" t="s">
        <v>90</v>
      </c>
      <c r="T56">
        <f>E56*30%</f>
        <v>1526.1</v>
      </c>
    </row>
    <row r="57" spans="1:18" ht="21" customHeight="1">
      <c r="A57" s="27">
        <v>2</v>
      </c>
      <c r="B57" s="73" t="s">
        <v>123</v>
      </c>
      <c r="C57" s="27">
        <v>12</v>
      </c>
      <c r="D57" s="28">
        <v>1</v>
      </c>
      <c r="E57" s="31">
        <v>4456</v>
      </c>
      <c r="F57" s="28"/>
      <c r="G57" s="28"/>
      <c r="H57" s="28"/>
      <c r="I57" s="31"/>
      <c r="J57" s="28"/>
      <c r="K57" s="27"/>
      <c r="L57" s="31">
        <f>E57*D57+I57</f>
        <v>4456</v>
      </c>
      <c r="M57" s="31">
        <f>L57*12</f>
        <v>53472</v>
      </c>
      <c r="N57" s="150">
        <f>(5000-L57)*4</f>
        <v>2176</v>
      </c>
      <c r="O57" s="150"/>
      <c r="P57" s="150"/>
      <c r="Q57" t="s">
        <v>89</v>
      </c>
      <c r="R57">
        <v>4456</v>
      </c>
    </row>
    <row r="58" spans="1:18" ht="21" customHeight="1">
      <c r="A58" s="27">
        <v>3</v>
      </c>
      <c r="B58" s="73" t="s">
        <v>123</v>
      </c>
      <c r="C58" s="27">
        <v>12</v>
      </c>
      <c r="D58" s="28">
        <v>1</v>
      </c>
      <c r="E58" s="31">
        <v>4456</v>
      </c>
      <c r="F58" s="28"/>
      <c r="G58" s="28"/>
      <c r="H58" s="28"/>
      <c r="I58" s="31"/>
      <c r="J58" s="28"/>
      <c r="K58" s="27"/>
      <c r="L58" s="31">
        <f>E58*D58+I58</f>
        <v>4456</v>
      </c>
      <c r="M58" s="31">
        <f>L58*12</f>
        <v>53472</v>
      </c>
      <c r="N58" s="30"/>
      <c r="O58" s="30">
        <f>(5000-L58)*4</f>
        <v>2176</v>
      </c>
      <c r="P58" s="30"/>
      <c r="Q58" t="s">
        <v>91</v>
      </c>
      <c r="R58">
        <v>820</v>
      </c>
    </row>
    <row r="59" spans="1:18" ht="23.25" customHeight="1">
      <c r="A59" s="27">
        <v>4</v>
      </c>
      <c r="B59" s="73" t="s">
        <v>123</v>
      </c>
      <c r="C59" s="27">
        <v>12</v>
      </c>
      <c r="D59" s="28">
        <v>1</v>
      </c>
      <c r="E59" s="31">
        <v>4456</v>
      </c>
      <c r="F59" s="28"/>
      <c r="G59" s="28"/>
      <c r="H59" s="28"/>
      <c r="I59" s="31">
        <f>E59*10%</f>
        <v>445.6</v>
      </c>
      <c r="J59" s="28"/>
      <c r="K59" s="27"/>
      <c r="L59" s="31">
        <f>E59*D59+I59</f>
        <v>4901.6</v>
      </c>
      <c r="M59" s="31">
        <f>L59*12</f>
        <v>58819.200000000004</v>
      </c>
      <c r="N59" s="30"/>
      <c r="O59" s="30">
        <f>(5000-L59)*4</f>
        <v>393.59999999999854</v>
      </c>
      <c r="P59" s="30"/>
      <c r="R59">
        <v>820</v>
      </c>
    </row>
    <row r="60" spans="1:18" ht="21" customHeight="1">
      <c r="A60" s="27">
        <v>5</v>
      </c>
      <c r="B60" s="73" t="s">
        <v>123</v>
      </c>
      <c r="C60" s="27">
        <v>12</v>
      </c>
      <c r="D60" s="28">
        <v>0.75</v>
      </c>
      <c r="E60" s="31">
        <v>4456</v>
      </c>
      <c r="F60" s="28"/>
      <c r="G60" s="28"/>
      <c r="H60" s="28"/>
      <c r="I60" s="31"/>
      <c r="J60" s="28"/>
      <c r="K60" s="27"/>
      <c r="L60" s="31">
        <f>(E60+I60)*D60</f>
        <v>3342</v>
      </c>
      <c r="M60" s="84">
        <f>L60*12</f>
        <v>40104</v>
      </c>
      <c r="N60" s="30"/>
      <c r="O60" s="30">
        <f>(5000-L60)*4</f>
        <v>6632</v>
      </c>
      <c r="P60" s="30"/>
      <c r="Q60" t="s">
        <v>92</v>
      </c>
      <c r="R60">
        <v>615</v>
      </c>
    </row>
    <row r="61" spans="1:16" ht="15">
      <c r="A61" s="35"/>
      <c r="B61" s="54" t="s">
        <v>14</v>
      </c>
      <c r="C61" s="35"/>
      <c r="D61" s="33">
        <f>SUM(D56:D60)</f>
        <v>4.75</v>
      </c>
      <c r="E61" s="36">
        <f>SUM(E56:E60)</f>
        <v>22911</v>
      </c>
      <c r="F61" s="32"/>
      <c r="G61" s="32"/>
      <c r="H61" s="32"/>
      <c r="I61" s="36">
        <f>I56+I57*2</f>
        <v>0</v>
      </c>
      <c r="J61" s="32"/>
      <c r="K61" s="32"/>
      <c r="L61" s="36">
        <f>SUM(L56:L60)</f>
        <v>22242.6</v>
      </c>
      <c r="M61" s="58">
        <f>SUM(M56:M60)</f>
        <v>266911.2</v>
      </c>
      <c r="N61" s="150">
        <f>N57+O58+O59+O60</f>
        <v>11377.599999999999</v>
      </c>
      <c r="O61" s="150"/>
      <c r="P61" s="150"/>
    </row>
    <row r="62" spans="1:18" ht="24" customHeight="1">
      <c r="A62" s="182" t="s">
        <v>59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4"/>
      <c r="N62" s="163"/>
      <c r="O62" s="163"/>
      <c r="P62" s="163"/>
      <c r="Q62" s="79"/>
      <c r="R62" s="79">
        <f>SUM(R57:R61)</f>
        <v>6711</v>
      </c>
    </row>
    <row r="63" spans="1:17" ht="36" customHeight="1">
      <c r="A63" s="27">
        <v>1</v>
      </c>
      <c r="B63" s="51" t="s">
        <v>15</v>
      </c>
      <c r="C63" s="27">
        <v>14</v>
      </c>
      <c r="D63" s="28">
        <v>1</v>
      </c>
      <c r="E63" s="31">
        <v>5087</v>
      </c>
      <c r="F63" s="28">
        <f>E63*0.2</f>
        <v>1017.4000000000001</v>
      </c>
      <c r="G63" s="28"/>
      <c r="H63" s="28"/>
      <c r="I63" s="31">
        <f>(E63*20)/100</f>
        <v>1017.4</v>
      </c>
      <c r="J63" s="28"/>
      <c r="K63" s="27"/>
      <c r="L63" s="31">
        <f>SUM(E63:K63)</f>
        <v>7121.799999999999</v>
      </c>
      <c r="M63" s="31">
        <f>L63*12</f>
        <v>85461.59999999999</v>
      </c>
      <c r="N63" s="150"/>
      <c r="O63" s="150"/>
      <c r="P63" s="150"/>
      <c r="Q63" t="s">
        <v>93</v>
      </c>
    </row>
    <row r="64" spans="1:18" ht="20.25" customHeight="1">
      <c r="A64" s="27">
        <v>2</v>
      </c>
      <c r="B64" s="73" t="s">
        <v>123</v>
      </c>
      <c r="C64" s="27">
        <v>12</v>
      </c>
      <c r="D64" s="28">
        <v>1</v>
      </c>
      <c r="E64" s="31">
        <v>4456</v>
      </c>
      <c r="F64" s="28"/>
      <c r="G64" s="28"/>
      <c r="H64" s="28"/>
      <c r="I64" s="31"/>
      <c r="J64" s="28"/>
      <c r="K64" s="27"/>
      <c r="L64" s="31">
        <f>SUM(E64:K64)</f>
        <v>4456</v>
      </c>
      <c r="M64" s="31">
        <f>L64*12</f>
        <v>53472</v>
      </c>
      <c r="N64" s="150">
        <f>(5000-L64)*4</f>
        <v>2176</v>
      </c>
      <c r="O64" s="150"/>
      <c r="P64" s="150"/>
      <c r="Q64" t="s">
        <v>81</v>
      </c>
      <c r="R64">
        <v>4456</v>
      </c>
    </row>
    <row r="65" spans="1:18" ht="18.75" customHeight="1">
      <c r="A65" s="27">
        <v>3</v>
      </c>
      <c r="B65" s="73" t="s">
        <v>123</v>
      </c>
      <c r="C65" s="27">
        <v>12</v>
      </c>
      <c r="D65" s="28">
        <v>1</v>
      </c>
      <c r="E65" s="31">
        <v>4456</v>
      </c>
      <c r="F65" s="28"/>
      <c r="G65" s="28"/>
      <c r="H65" s="28"/>
      <c r="I65" s="31">
        <f>E65*0.3</f>
        <v>1336.8</v>
      </c>
      <c r="J65" s="28"/>
      <c r="K65" s="27"/>
      <c r="L65" s="31">
        <f>SUM(E65:K65)</f>
        <v>5792.8</v>
      </c>
      <c r="M65" s="31">
        <f>L65*12</f>
        <v>69513.6</v>
      </c>
      <c r="N65" s="30"/>
      <c r="O65" s="30"/>
      <c r="P65" s="30"/>
      <c r="Q65" t="s">
        <v>94</v>
      </c>
      <c r="R65">
        <v>820</v>
      </c>
    </row>
    <row r="66" spans="1:18" ht="21" customHeight="1">
      <c r="A66" s="27">
        <v>4</v>
      </c>
      <c r="B66" s="73" t="s">
        <v>123</v>
      </c>
      <c r="C66" s="27">
        <v>12</v>
      </c>
      <c r="D66" s="28">
        <v>1</v>
      </c>
      <c r="E66" s="31">
        <v>4456</v>
      </c>
      <c r="F66" s="28"/>
      <c r="G66" s="28"/>
      <c r="H66" s="28"/>
      <c r="I66" s="31"/>
      <c r="J66" s="28"/>
      <c r="K66" s="27"/>
      <c r="L66" s="31">
        <f>SUM(E66:K66)</f>
        <v>4456</v>
      </c>
      <c r="M66" s="31">
        <f>L66*12</f>
        <v>53472</v>
      </c>
      <c r="N66" s="30"/>
      <c r="O66" s="30">
        <f>(5000-L66)*4</f>
        <v>2176</v>
      </c>
      <c r="P66" s="30"/>
      <c r="Q66" t="s">
        <v>81</v>
      </c>
      <c r="R66">
        <v>4456</v>
      </c>
    </row>
    <row r="67" spans="1:16" ht="15">
      <c r="A67" s="35"/>
      <c r="B67" s="54" t="s">
        <v>14</v>
      </c>
      <c r="C67" s="35"/>
      <c r="D67" s="33">
        <f>SUM(D63:D66)</f>
        <v>4</v>
      </c>
      <c r="E67" s="36">
        <f>SUM(E63:E66)</f>
        <v>18455</v>
      </c>
      <c r="F67" s="32">
        <f>SUM(F63:F64)</f>
        <v>1017.4000000000001</v>
      </c>
      <c r="G67" s="32"/>
      <c r="H67" s="32"/>
      <c r="I67" s="36">
        <f>SUM(I63:I66)</f>
        <v>2354.2</v>
      </c>
      <c r="J67" s="32"/>
      <c r="K67" s="32"/>
      <c r="L67" s="36">
        <f>SUM(L63:L66)</f>
        <v>21826.6</v>
      </c>
      <c r="M67" s="36">
        <f>SUM(M63:M66)</f>
        <v>261919.19999999998</v>
      </c>
      <c r="N67" s="150">
        <f>N64+O65+O66</f>
        <v>4352</v>
      </c>
      <c r="O67" s="150"/>
      <c r="P67" s="150"/>
    </row>
    <row r="68" spans="1:18" ht="29.25" customHeight="1">
      <c r="A68" s="182" t="s">
        <v>60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4"/>
      <c r="N68" s="163"/>
      <c r="O68" s="163"/>
      <c r="P68" s="163"/>
      <c r="Q68" s="79"/>
      <c r="R68" s="79">
        <f>SUM(R64:R67)</f>
        <v>9732</v>
      </c>
    </row>
    <row r="69" spans="1:20" ht="19.5" customHeight="1">
      <c r="A69" s="27">
        <v>1</v>
      </c>
      <c r="B69" s="51" t="s">
        <v>15</v>
      </c>
      <c r="C69" s="27">
        <v>14</v>
      </c>
      <c r="D69" s="28">
        <v>1</v>
      </c>
      <c r="E69" s="31">
        <v>5087</v>
      </c>
      <c r="F69" s="28"/>
      <c r="G69" s="28"/>
      <c r="H69" s="28"/>
      <c r="I69" s="28">
        <f>E69*0.1</f>
        <v>508.70000000000005</v>
      </c>
      <c r="J69" s="27"/>
      <c r="K69" s="28"/>
      <c r="L69" s="28">
        <f>SUM(E69:K69)</f>
        <v>5595.7</v>
      </c>
      <c r="M69" s="28">
        <f>L69*12</f>
        <v>67148.4</v>
      </c>
      <c r="N69" s="181"/>
      <c r="O69" s="181"/>
      <c r="P69" s="181"/>
      <c r="Q69" t="s">
        <v>95</v>
      </c>
      <c r="T69">
        <f>E69*50%</f>
        <v>2543.5</v>
      </c>
    </row>
    <row r="70" spans="1:17" ht="19.5" customHeight="1">
      <c r="A70" s="27">
        <v>2</v>
      </c>
      <c r="B70" s="73" t="s">
        <v>124</v>
      </c>
      <c r="C70" s="27">
        <v>10</v>
      </c>
      <c r="D70" s="28">
        <v>1</v>
      </c>
      <c r="E70" s="31">
        <v>3826</v>
      </c>
      <c r="F70" s="28"/>
      <c r="G70" s="28"/>
      <c r="H70" s="28"/>
      <c r="I70" s="28"/>
      <c r="J70" s="27"/>
      <c r="K70" s="28"/>
      <c r="L70" s="28">
        <f>SUM(E70:K70)</f>
        <v>3826</v>
      </c>
      <c r="M70" s="28">
        <f>L70*12</f>
        <v>45912</v>
      </c>
      <c r="N70" s="181">
        <f>(5000-L70)*4</f>
        <v>4696</v>
      </c>
      <c r="O70" s="181"/>
      <c r="P70" s="181"/>
      <c r="Q70" t="s">
        <v>96</v>
      </c>
    </row>
    <row r="71" spans="1:17" ht="19.5" customHeight="1">
      <c r="A71" s="27">
        <v>3</v>
      </c>
      <c r="B71" s="73" t="s">
        <v>124</v>
      </c>
      <c r="C71" s="27">
        <v>10</v>
      </c>
      <c r="D71" s="28">
        <v>1</v>
      </c>
      <c r="E71" s="31">
        <v>3826</v>
      </c>
      <c r="F71" s="28"/>
      <c r="G71" s="28"/>
      <c r="H71" s="28"/>
      <c r="I71" s="28"/>
      <c r="J71" s="27"/>
      <c r="K71" s="28"/>
      <c r="L71" s="28">
        <f>E71</f>
        <v>3826</v>
      </c>
      <c r="M71" s="28">
        <f>L71*12</f>
        <v>45912</v>
      </c>
      <c r="N71" s="181">
        <f>(5000-L71)*4</f>
        <v>4696</v>
      </c>
      <c r="O71" s="181"/>
      <c r="P71" s="181"/>
      <c r="Q71" t="s">
        <v>97</v>
      </c>
    </row>
    <row r="72" spans="1:16" ht="15">
      <c r="A72" s="35"/>
      <c r="B72" s="54" t="s">
        <v>14</v>
      </c>
      <c r="C72" s="35"/>
      <c r="D72" s="33">
        <f>SUM(D69:D71)</f>
        <v>3</v>
      </c>
      <c r="E72" s="36">
        <f>SUM(E69:E71)</f>
        <v>12739</v>
      </c>
      <c r="F72" s="32"/>
      <c r="G72" s="32"/>
      <c r="H72" s="32"/>
      <c r="I72" s="32">
        <v>414.1</v>
      </c>
      <c r="J72" s="32"/>
      <c r="K72" s="32"/>
      <c r="L72" s="32">
        <f>SUM(L69:L71)</f>
        <v>13247.7</v>
      </c>
      <c r="M72" s="32">
        <f>SUM(M69:M71)</f>
        <v>158972.4</v>
      </c>
      <c r="N72" s="187">
        <f>N69+N70+N71</f>
        <v>9392</v>
      </c>
      <c r="O72" s="188"/>
      <c r="P72" s="189"/>
    </row>
    <row r="73" spans="1:18" ht="31.5" customHeight="1">
      <c r="A73" s="182" t="s">
        <v>61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4"/>
      <c r="N73" s="163"/>
      <c r="O73" s="163"/>
      <c r="P73" s="163"/>
      <c r="Q73" s="79"/>
      <c r="R73" s="79"/>
    </row>
    <row r="74" spans="1:17" ht="16.5" customHeight="1">
      <c r="A74" s="27">
        <v>1</v>
      </c>
      <c r="B74" s="51" t="s">
        <v>62</v>
      </c>
      <c r="C74" s="27">
        <v>5</v>
      </c>
      <c r="D74" s="41">
        <v>1</v>
      </c>
      <c r="E74" s="31">
        <v>2859</v>
      </c>
      <c r="F74" s="43"/>
      <c r="G74" s="43"/>
      <c r="H74" s="43"/>
      <c r="I74" s="43"/>
      <c r="J74" s="43"/>
      <c r="K74" s="37"/>
      <c r="L74" s="31">
        <f>E74</f>
        <v>2859</v>
      </c>
      <c r="M74" s="31">
        <f>L74*12</f>
        <v>34308</v>
      </c>
      <c r="N74" s="185">
        <f>(5000-L74)*4</f>
        <v>8564</v>
      </c>
      <c r="O74" s="186"/>
      <c r="P74" s="45"/>
      <c r="Q74" t="s">
        <v>98</v>
      </c>
    </row>
    <row r="75" spans="1:17" ht="16.5" customHeight="1">
      <c r="A75" s="27">
        <v>2</v>
      </c>
      <c r="B75" s="51" t="s">
        <v>32</v>
      </c>
      <c r="C75" s="27">
        <v>2</v>
      </c>
      <c r="D75" s="41">
        <v>1</v>
      </c>
      <c r="E75" s="31">
        <v>2291</v>
      </c>
      <c r="F75" s="43"/>
      <c r="G75" s="43"/>
      <c r="H75" s="43"/>
      <c r="I75" s="43"/>
      <c r="J75" s="43"/>
      <c r="K75" s="37"/>
      <c r="L75" s="31">
        <f>E75</f>
        <v>2291</v>
      </c>
      <c r="M75" s="31">
        <f>L75*12</f>
        <v>27492</v>
      </c>
      <c r="N75" s="46"/>
      <c r="O75" s="47">
        <f>(5000-L75)*4</f>
        <v>10836</v>
      </c>
      <c r="P75" s="48"/>
      <c r="Q75" t="s">
        <v>99</v>
      </c>
    </row>
    <row r="76" spans="1:17" ht="18" customHeight="1">
      <c r="A76" s="27">
        <v>3</v>
      </c>
      <c r="B76" s="51" t="s">
        <v>18</v>
      </c>
      <c r="C76" s="27">
        <v>3</v>
      </c>
      <c r="D76" s="41">
        <v>1</v>
      </c>
      <c r="E76" s="31">
        <v>2480</v>
      </c>
      <c r="F76" s="28"/>
      <c r="G76" s="28"/>
      <c r="H76" s="5">
        <f>(E76*25)/100</f>
        <v>620</v>
      </c>
      <c r="I76" s="5"/>
      <c r="J76" s="5">
        <v>620</v>
      </c>
      <c r="K76" s="27"/>
      <c r="L76" s="31">
        <f>SUM(E76:J76)</f>
        <v>3720</v>
      </c>
      <c r="M76" s="31">
        <f aca="true" t="shared" si="3" ref="M76:M82">L76*12</f>
        <v>44640</v>
      </c>
      <c r="N76" s="181">
        <f>(5000-L76)*4</f>
        <v>5120</v>
      </c>
      <c r="O76" s="181"/>
      <c r="P76" s="181"/>
      <c r="Q76" t="s">
        <v>100</v>
      </c>
    </row>
    <row r="77" spans="1:18" ht="15" customHeight="1">
      <c r="A77" s="27">
        <v>4</v>
      </c>
      <c r="B77" s="51" t="s">
        <v>29</v>
      </c>
      <c r="C77" s="27">
        <v>3</v>
      </c>
      <c r="D77" s="41">
        <v>1</v>
      </c>
      <c r="E77" s="31">
        <v>2480</v>
      </c>
      <c r="F77" s="28"/>
      <c r="G77" s="28"/>
      <c r="H77" s="5">
        <f>(E77*25)/100</f>
        <v>620</v>
      </c>
      <c r="I77" s="5"/>
      <c r="J77" s="5">
        <f>SUM(J76)</f>
        <v>620</v>
      </c>
      <c r="K77" s="27"/>
      <c r="L77" s="31">
        <f>SUM(E77:J77)</f>
        <v>3720</v>
      </c>
      <c r="M77" s="31">
        <f t="shared" si="3"/>
        <v>44640</v>
      </c>
      <c r="N77" s="90"/>
      <c r="O77" s="90">
        <f>(5000-L77)*4</f>
        <v>5120</v>
      </c>
      <c r="P77" s="90"/>
      <c r="Q77" t="s">
        <v>81</v>
      </c>
      <c r="R77">
        <v>4723</v>
      </c>
    </row>
    <row r="78" spans="1:17" ht="18.75" customHeight="1">
      <c r="A78" s="27">
        <v>5</v>
      </c>
      <c r="B78" s="51" t="s">
        <v>134</v>
      </c>
      <c r="C78" s="27">
        <v>3</v>
      </c>
      <c r="D78" s="41">
        <v>1</v>
      </c>
      <c r="E78" s="31">
        <v>2480</v>
      </c>
      <c r="F78" s="28"/>
      <c r="G78" s="28"/>
      <c r="H78" s="5">
        <f>(E78*25)/100</f>
        <v>620</v>
      </c>
      <c r="I78" s="5"/>
      <c r="J78" s="5">
        <v>620</v>
      </c>
      <c r="K78" s="27"/>
      <c r="L78" s="31">
        <f>SUM(E78:J78)</f>
        <v>3720</v>
      </c>
      <c r="M78" s="31">
        <f t="shared" si="3"/>
        <v>44640</v>
      </c>
      <c r="N78" s="181">
        <f>(5000-L78)*4</f>
        <v>5120</v>
      </c>
      <c r="O78" s="181"/>
      <c r="P78" s="181"/>
      <c r="Q78" t="s">
        <v>129</v>
      </c>
    </row>
    <row r="79" spans="1:17" ht="17.25" customHeight="1">
      <c r="A79" s="27">
        <v>6</v>
      </c>
      <c r="B79" s="51" t="s">
        <v>30</v>
      </c>
      <c r="C79" s="27">
        <v>2</v>
      </c>
      <c r="D79" s="41">
        <v>1</v>
      </c>
      <c r="E79" s="31">
        <v>2291</v>
      </c>
      <c r="F79" s="28"/>
      <c r="G79" s="28"/>
      <c r="H79" s="28"/>
      <c r="I79" s="28"/>
      <c r="J79" s="28"/>
      <c r="K79" s="27"/>
      <c r="L79" s="31">
        <f>E79</f>
        <v>2291</v>
      </c>
      <c r="M79" s="31">
        <f t="shared" si="3"/>
        <v>27492</v>
      </c>
      <c r="N79" s="181">
        <f>(5000-L79)*4</f>
        <v>10836</v>
      </c>
      <c r="O79" s="181"/>
      <c r="P79" s="181"/>
      <c r="Q79" t="s">
        <v>101</v>
      </c>
    </row>
    <row r="80" spans="1:17" ht="17.25" customHeight="1">
      <c r="A80" s="27">
        <v>7</v>
      </c>
      <c r="B80" s="51" t="s">
        <v>19</v>
      </c>
      <c r="C80" s="27">
        <v>1</v>
      </c>
      <c r="D80" s="41">
        <v>3</v>
      </c>
      <c r="E80" s="31">
        <v>2102</v>
      </c>
      <c r="F80" s="28"/>
      <c r="G80" s="28"/>
      <c r="H80" s="28"/>
      <c r="I80" s="28"/>
      <c r="J80" s="28"/>
      <c r="K80" s="27"/>
      <c r="L80" s="31">
        <f>(E80*D80)</f>
        <v>6306</v>
      </c>
      <c r="M80" s="31">
        <f>L80*12</f>
        <v>75672</v>
      </c>
      <c r="N80" s="181">
        <f>((5000-E80)*4)*D80</f>
        <v>34776</v>
      </c>
      <c r="O80" s="181"/>
      <c r="P80" s="181"/>
      <c r="Q80" s="88"/>
    </row>
    <row r="81" spans="1:19" ht="13.5" customHeight="1">
      <c r="A81" s="27">
        <v>8</v>
      </c>
      <c r="B81" s="51" t="s">
        <v>20</v>
      </c>
      <c r="C81" s="27">
        <v>1</v>
      </c>
      <c r="D81" s="41">
        <v>2</v>
      </c>
      <c r="E81" s="31">
        <v>2102</v>
      </c>
      <c r="F81" s="28"/>
      <c r="G81" s="28"/>
      <c r="H81" s="28"/>
      <c r="I81" s="28"/>
      <c r="J81" s="28"/>
      <c r="K81" s="28">
        <v>210.2</v>
      </c>
      <c r="L81" s="31">
        <f>(E81+K81)*D81</f>
        <v>4624.4</v>
      </c>
      <c r="M81" s="31">
        <f>L81*12</f>
        <v>55492.799999999996</v>
      </c>
      <c r="N81" s="181">
        <f>((5000-E81)*2)*4</f>
        <v>23184</v>
      </c>
      <c r="O81" s="181"/>
      <c r="P81" s="181"/>
      <c r="Q81" t="s">
        <v>103</v>
      </c>
      <c r="S81" s="22"/>
    </row>
    <row r="82" spans="1:17" ht="15">
      <c r="A82" s="27">
        <v>9</v>
      </c>
      <c r="B82" s="51" t="s">
        <v>21</v>
      </c>
      <c r="C82" s="27">
        <v>1</v>
      </c>
      <c r="D82" s="41">
        <v>1</v>
      </c>
      <c r="E82" s="31">
        <v>2102</v>
      </c>
      <c r="F82" s="28"/>
      <c r="G82" s="28"/>
      <c r="H82" s="28"/>
      <c r="I82" s="28"/>
      <c r="J82" s="28"/>
      <c r="K82" s="27"/>
      <c r="L82" s="50">
        <f>E82</f>
        <v>2102</v>
      </c>
      <c r="M82" s="31">
        <f t="shared" si="3"/>
        <v>25224</v>
      </c>
      <c r="N82" s="181">
        <f>(5000-E82)*4</f>
        <v>11592</v>
      </c>
      <c r="O82" s="181"/>
      <c r="P82" s="181"/>
      <c r="Q82" t="s">
        <v>102</v>
      </c>
    </row>
    <row r="83" spans="1:18" ht="15">
      <c r="A83" s="35"/>
      <c r="B83" s="52" t="s">
        <v>14</v>
      </c>
      <c r="C83" s="32" t="s">
        <v>33</v>
      </c>
      <c r="D83" s="33">
        <f>SUM(D74:D82)</f>
        <v>12</v>
      </c>
      <c r="E83" s="36">
        <f>SUM(E74:E82)</f>
        <v>21187</v>
      </c>
      <c r="F83" s="32"/>
      <c r="G83" s="32"/>
      <c r="H83" s="32">
        <f>SUM(H74:H82)</f>
        <v>1860</v>
      </c>
      <c r="I83" s="32"/>
      <c r="J83" s="32">
        <f>SUM(J74:J82)</f>
        <v>1860</v>
      </c>
      <c r="K83" s="32">
        <f>K81</f>
        <v>210.2</v>
      </c>
      <c r="L83" s="36">
        <f>SUM(L74:L82)</f>
        <v>31633.4</v>
      </c>
      <c r="M83" s="36">
        <f>SUM(M74:M82)</f>
        <v>379600.8</v>
      </c>
      <c r="N83" s="163">
        <f>N74+O75+N76+O77+N78+N79+N80+N81</f>
        <v>103556</v>
      </c>
      <c r="O83" s="163"/>
      <c r="P83" s="163"/>
      <c r="Q83" s="79"/>
      <c r="R83" s="79">
        <f>SUM(R77:R82)</f>
        <v>4723</v>
      </c>
    </row>
    <row r="84" spans="1:20" ht="15">
      <c r="A84" s="35"/>
      <c r="B84" s="56" t="s">
        <v>22</v>
      </c>
      <c r="C84" s="57"/>
      <c r="D84" s="58">
        <f>D83+D72+D67+D61+D54+D49+D41+D35+D26</f>
        <v>50.75</v>
      </c>
      <c r="E84" s="58">
        <f>E83+E72+E67+E61+E54+E49+E41+E35+E26</f>
        <v>187127</v>
      </c>
      <c r="F84" s="58">
        <f>F83+F72+F67+F61+F54+F49+F41+F35+F26</f>
        <v>2131.8</v>
      </c>
      <c r="G84" s="58">
        <f>G83+G72+G67+G61+G54+G49+G41+G35+G26</f>
        <v>2932.5</v>
      </c>
      <c r="H84" s="58">
        <f>H83+H72+H67+H61+H54+H49+H41+H35+H26</f>
        <v>1860</v>
      </c>
      <c r="I84" s="58">
        <f>I72+I67+I49+I35+I26</f>
        <v>12229.9</v>
      </c>
      <c r="J84" s="58">
        <f>J83+J72+J67+J61+J54+J49+J41+J35+J26</f>
        <v>1860</v>
      </c>
      <c r="K84" s="58">
        <f>K83+K72+K67+K61+K54+K49+K41+K35+K26</f>
        <v>210.2</v>
      </c>
      <c r="L84" s="58">
        <f>L83+L72+L67+L61+L54+L49+L41+L35+L26</f>
        <v>227031.80000000005</v>
      </c>
      <c r="M84" s="58">
        <f>M83+M72+M67+M61+M54+M49+M41+M35+M26</f>
        <v>2724381.5999999996</v>
      </c>
      <c r="N84" s="58">
        <f>N83+N72+N67+N61+N54+N49+N41+N35+N26</f>
        <v>159289.6</v>
      </c>
      <c r="O84" s="58">
        <f>N83+N72+N67+N61+O54+N49+N41+N25+N35</f>
        <v>176125.6</v>
      </c>
      <c r="P84" s="59"/>
      <c r="R84">
        <f>R83+R73+R68+R62+R55+R50+R42+R36</f>
        <v>47273</v>
      </c>
      <c r="T84">
        <f>SUM(T21:T83)</f>
        <v>34068.299999999996</v>
      </c>
    </row>
    <row r="85" spans="1:13" ht="17.25">
      <c r="A85" s="1"/>
      <c r="B85" s="1"/>
      <c r="C85" s="1"/>
      <c r="D85" s="1"/>
      <c r="E85" s="71"/>
      <c r="F85" s="1"/>
      <c r="G85" s="1"/>
      <c r="H85" s="1"/>
      <c r="I85" s="1"/>
      <c r="J85" s="1"/>
      <c r="K85" s="1"/>
      <c r="L85" s="26"/>
      <c r="M85" s="86"/>
    </row>
    <row r="86" spans="1:15" ht="30" customHeight="1">
      <c r="A86" s="1"/>
      <c r="B86" s="1"/>
      <c r="C86" s="145" t="s">
        <v>64</v>
      </c>
      <c r="D86" s="145"/>
      <c r="E86" s="145"/>
      <c r="F86" s="145"/>
      <c r="G86" s="145"/>
      <c r="H86" s="145"/>
      <c r="I86" s="145"/>
      <c r="J86" s="145"/>
      <c r="K86" s="145"/>
      <c r="L86" s="145"/>
      <c r="M86" s="85"/>
      <c r="N86" s="62"/>
      <c r="O86" s="62"/>
    </row>
    <row r="87" spans="1:15" ht="31.5" customHeight="1">
      <c r="A87" s="1"/>
      <c r="B87" s="1"/>
      <c r="C87" s="146" t="s">
        <v>63</v>
      </c>
      <c r="D87" s="146"/>
      <c r="E87" s="146"/>
      <c r="F87" s="146"/>
      <c r="G87" s="146"/>
      <c r="H87" s="146"/>
      <c r="I87" s="146"/>
      <c r="J87" s="146"/>
      <c r="K87" s="146"/>
      <c r="L87" s="146"/>
      <c r="M87" s="63"/>
      <c r="N87" s="63"/>
      <c r="O87" s="63"/>
    </row>
    <row r="88" spans="1:2" ht="45.75" customHeight="1">
      <c r="A88" s="1"/>
      <c r="B88" s="1"/>
    </row>
    <row r="89" spans="5:15" ht="18">
      <c r="E89" s="2"/>
      <c r="F89" s="2"/>
      <c r="G89" s="2"/>
      <c r="H89" s="2"/>
      <c r="I89" s="2"/>
      <c r="J89" s="2"/>
      <c r="O89" s="22"/>
    </row>
    <row r="91" ht="18">
      <c r="L91" s="2"/>
    </row>
  </sheetData>
  <sheetProtection/>
  <mergeCells count="86">
    <mergeCell ref="A1:E8"/>
    <mergeCell ref="H1:M13"/>
    <mergeCell ref="A14:M14"/>
    <mergeCell ref="A15:M15"/>
    <mergeCell ref="A16:M16"/>
    <mergeCell ref="A17:A19"/>
    <mergeCell ref="B17:B19"/>
    <mergeCell ref="D17:D19"/>
    <mergeCell ref="E17:E19"/>
    <mergeCell ref="F17:H18"/>
    <mergeCell ref="I17:K18"/>
    <mergeCell ref="L17:L19"/>
    <mergeCell ref="M17:M19"/>
    <mergeCell ref="N19:O19"/>
    <mergeCell ref="N20:P20"/>
    <mergeCell ref="N21:P21"/>
    <mergeCell ref="N22:P22"/>
    <mergeCell ref="N23:P23"/>
    <mergeCell ref="N24:P24"/>
    <mergeCell ref="N25:O25"/>
    <mergeCell ref="N26:P26"/>
    <mergeCell ref="A27:K27"/>
    <mergeCell ref="N27:P27"/>
    <mergeCell ref="N28:P28"/>
    <mergeCell ref="N29:O29"/>
    <mergeCell ref="N30:O30"/>
    <mergeCell ref="N31:O31"/>
    <mergeCell ref="N32:O32"/>
    <mergeCell ref="N33:P33"/>
    <mergeCell ref="N34:O34"/>
    <mergeCell ref="N35:P35"/>
    <mergeCell ref="A36:M36"/>
    <mergeCell ref="N36:P36"/>
    <mergeCell ref="N37:P37"/>
    <mergeCell ref="N38:P38"/>
    <mergeCell ref="N39:P39"/>
    <mergeCell ref="N40:O40"/>
    <mergeCell ref="N41:P41"/>
    <mergeCell ref="A42:M42"/>
    <mergeCell ref="N42:P42"/>
    <mergeCell ref="A43:A44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P44"/>
    <mergeCell ref="N45:P45"/>
    <mergeCell ref="N46:P46"/>
    <mergeCell ref="N48:P48"/>
    <mergeCell ref="N49:O49"/>
    <mergeCell ref="B50:M50"/>
    <mergeCell ref="A55:M55"/>
    <mergeCell ref="N55:P55"/>
    <mergeCell ref="N56:P56"/>
    <mergeCell ref="N57:P57"/>
    <mergeCell ref="N61:P61"/>
    <mergeCell ref="A62:M62"/>
    <mergeCell ref="N62:P62"/>
    <mergeCell ref="N63:P63"/>
    <mergeCell ref="N64:P64"/>
    <mergeCell ref="N67:P67"/>
    <mergeCell ref="A68:M68"/>
    <mergeCell ref="N68:P68"/>
    <mergeCell ref="N69:P69"/>
    <mergeCell ref="N70:P70"/>
    <mergeCell ref="N71:P71"/>
    <mergeCell ref="N72:P72"/>
    <mergeCell ref="A73:M73"/>
    <mergeCell ref="N73:P73"/>
    <mergeCell ref="N82:P82"/>
    <mergeCell ref="N83:P83"/>
    <mergeCell ref="C86:L86"/>
    <mergeCell ref="C87:L87"/>
    <mergeCell ref="N74:O74"/>
    <mergeCell ref="N76:P76"/>
    <mergeCell ref="N78:P78"/>
    <mergeCell ref="N79:P79"/>
    <mergeCell ref="N80:P80"/>
    <mergeCell ref="N81:P8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W101"/>
  <sheetViews>
    <sheetView zoomScale="90" zoomScaleNormal="90" zoomScalePageLayoutView="0" workbookViewId="0" topLeftCell="A19">
      <selection activeCell="B48" sqref="B48"/>
    </sheetView>
  </sheetViews>
  <sheetFormatPr defaultColWidth="9.00390625" defaultRowHeight="12.75"/>
  <cols>
    <col min="1" max="1" width="4.50390625" style="0" customWidth="1"/>
    <col min="2" max="2" width="23.625" style="0" customWidth="1"/>
    <col min="3" max="3" width="7.50390625" style="0" customWidth="1"/>
    <col min="4" max="4" width="6.50390625" style="0" customWidth="1"/>
    <col min="5" max="5" width="14.375" style="0" customWidth="1"/>
    <col min="6" max="6" width="9.875" style="0" customWidth="1"/>
    <col min="7" max="7" width="11.50390625" style="0" customWidth="1"/>
    <col min="8" max="8" width="10.50390625" style="0" customWidth="1"/>
    <col min="9" max="9" width="12.50390625" style="0" customWidth="1"/>
    <col min="10" max="10" width="10.125" style="0" customWidth="1"/>
    <col min="11" max="11" width="9.00390625" style="0" customWidth="1"/>
    <col min="12" max="12" width="13.875" style="0" customWidth="1"/>
    <col min="13" max="13" width="18.375" style="0" customWidth="1"/>
    <col min="14" max="14" width="0.37109375" style="0" hidden="1" customWidth="1"/>
    <col min="15" max="15" width="15.50390625" style="0" customWidth="1"/>
    <col min="16" max="16" width="4.50390625" style="0" customWidth="1"/>
    <col min="17" max="17" width="13.375" style="0" customWidth="1"/>
    <col min="19" max="19" width="18.125" style="0" customWidth="1"/>
  </cols>
  <sheetData>
    <row r="1" spans="1:13" ht="18" customHeight="1">
      <c r="A1" s="190" t="s">
        <v>140</v>
      </c>
      <c r="B1" s="190"/>
      <c r="C1" s="190"/>
      <c r="D1" s="190"/>
      <c r="E1" s="190"/>
      <c r="F1" s="10"/>
      <c r="G1" s="10"/>
      <c r="H1" s="191" t="s">
        <v>173</v>
      </c>
      <c r="I1" s="191"/>
      <c r="J1" s="191"/>
      <c r="K1" s="191"/>
      <c r="L1" s="191"/>
      <c r="M1" s="191"/>
    </row>
    <row r="2" spans="1:13" ht="18" customHeight="1">
      <c r="A2" s="190"/>
      <c r="B2" s="190"/>
      <c r="C2" s="190"/>
      <c r="D2" s="190"/>
      <c r="E2" s="190"/>
      <c r="F2" s="10"/>
      <c r="G2" s="10"/>
      <c r="H2" s="191"/>
      <c r="I2" s="191"/>
      <c r="J2" s="191"/>
      <c r="K2" s="191"/>
      <c r="L2" s="191"/>
      <c r="M2" s="191"/>
    </row>
    <row r="3" spans="1:19" ht="18" customHeight="1">
      <c r="A3" s="190"/>
      <c r="B3" s="190"/>
      <c r="C3" s="190"/>
      <c r="D3" s="190"/>
      <c r="E3" s="190"/>
      <c r="F3" s="10"/>
      <c r="G3" s="10"/>
      <c r="H3" s="191"/>
      <c r="I3" s="191"/>
      <c r="J3" s="191"/>
      <c r="K3" s="191"/>
      <c r="L3" s="191"/>
      <c r="M3" s="191"/>
      <c r="S3" s="20"/>
    </row>
    <row r="4" spans="1:19" ht="18.75" customHeight="1">
      <c r="A4" s="190"/>
      <c r="B4" s="190"/>
      <c r="C4" s="190"/>
      <c r="D4" s="190"/>
      <c r="E4" s="190"/>
      <c r="F4" s="3"/>
      <c r="G4" s="3"/>
      <c r="H4" s="191"/>
      <c r="I4" s="191"/>
      <c r="J4" s="191"/>
      <c r="K4" s="191"/>
      <c r="L4" s="191"/>
      <c r="M4" s="191"/>
      <c r="S4" s="20"/>
    </row>
    <row r="5" spans="1:19" ht="18.75" customHeight="1">
      <c r="A5" s="190"/>
      <c r="B5" s="190"/>
      <c r="C5" s="190"/>
      <c r="D5" s="190"/>
      <c r="E5" s="190"/>
      <c r="F5" s="3"/>
      <c r="G5" s="3"/>
      <c r="H5" s="191"/>
      <c r="I5" s="191"/>
      <c r="J5" s="191"/>
      <c r="K5" s="191"/>
      <c r="L5" s="191"/>
      <c r="M5" s="191"/>
      <c r="S5" s="60"/>
    </row>
    <row r="6" spans="1:19" ht="18.75" customHeight="1">
      <c r="A6" s="190"/>
      <c r="B6" s="190"/>
      <c r="C6" s="190"/>
      <c r="D6" s="190"/>
      <c r="E6" s="190"/>
      <c r="F6" s="3"/>
      <c r="G6" s="3"/>
      <c r="H6" s="191"/>
      <c r="I6" s="191"/>
      <c r="J6" s="191"/>
      <c r="K6" s="191"/>
      <c r="L6" s="191"/>
      <c r="M6" s="191"/>
      <c r="S6" s="20"/>
    </row>
    <row r="7" spans="1:19" ht="18.75" customHeight="1">
      <c r="A7" s="190"/>
      <c r="B7" s="190"/>
      <c r="C7" s="190"/>
      <c r="D7" s="190"/>
      <c r="E7" s="190"/>
      <c r="F7" s="3"/>
      <c r="G7" s="3"/>
      <c r="H7" s="191"/>
      <c r="I7" s="191"/>
      <c r="J7" s="191"/>
      <c r="K7" s="191"/>
      <c r="L7" s="191"/>
      <c r="M7" s="191"/>
      <c r="S7" s="20"/>
    </row>
    <row r="8" spans="1:13" ht="18.75" customHeight="1">
      <c r="A8" s="190"/>
      <c r="B8" s="190"/>
      <c r="C8" s="190"/>
      <c r="D8" s="190"/>
      <c r="E8" s="190"/>
      <c r="F8" s="3"/>
      <c r="G8" s="3"/>
      <c r="H8" s="191"/>
      <c r="I8" s="191"/>
      <c r="J8" s="191"/>
      <c r="K8" s="191"/>
      <c r="L8" s="191"/>
      <c r="M8" s="191"/>
    </row>
    <row r="9" spans="1:13" ht="18.75" customHeight="1">
      <c r="A9" s="3"/>
      <c r="B9" s="3"/>
      <c r="C9" s="3"/>
      <c r="D9" s="3"/>
      <c r="E9" s="3"/>
      <c r="F9" s="3"/>
      <c r="G9" s="3"/>
      <c r="H9" s="191"/>
      <c r="I9" s="191"/>
      <c r="J9" s="191"/>
      <c r="K9" s="191"/>
      <c r="L9" s="191"/>
      <c r="M9" s="191"/>
    </row>
    <row r="10" spans="1:13" ht="18.75" customHeight="1">
      <c r="A10" s="3"/>
      <c r="B10" s="3"/>
      <c r="C10" s="3"/>
      <c r="D10" s="3"/>
      <c r="E10" s="3"/>
      <c r="F10" s="3"/>
      <c r="G10" s="3"/>
      <c r="H10" s="191"/>
      <c r="I10" s="191"/>
      <c r="J10" s="191"/>
      <c r="K10" s="191"/>
      <c r="L10" s="191"/>
      <c r="M10" s="191"/>
    </row>
    <row r="11" spans="1:13" ht="18.75" customHeight="1">
      <c r="A11" s="3"/>
      <c r="B11" s="3"/>
      <c r="C11" s="3"/>
      <c r="D11" s="3"/>
      <c r="E11" s="3"/>
      <c r="F11" s="3"/>
      <c r="G11" s="3"/>
      <c r="H11" s="191"/>
      <c r="I11" s="191"/>
      <c r="J11" s="191"/>
      <c r="K11" s="191"/>
      <c r="L11" s="191"/>
      <c r="M11" s="191"/>
    </row>
    <row r="12" spans="1:13" ht="18.75" customHeight="1">
      <c r="A12" s="3"/>
      <c r="B12" s="3"/>
      <c r="C12" s="3"/>
      <c r="D12" s="3"/>
      <c r="E12" s="3"/>
      <c r="F12" s="3"/>
      <c r="G12" s="3"/>
      <c r="H12" s="191"/>
      <c r="I12" s="191"/>
      <c r="J12" s="191"/>
      <c r="K12" s="191"/>
      <c r="L12" s="191"/>
      <c r="M12" s="191"/>
    </row>
    <row r="13" spans="1:13" ht="36" customHeight="1">
      <c r="A13" s="3"/>
      <c r="B13" s="3"/>
      <c r="C13" s="3"/>
      <c r="D13" s="3"/>
      <c r="E13" s="3"/>
      <c r="F13" s="3"/>
      <c r="G13" s="3"/>
      <c r="H13" s="191"/>
      <c r="I13" s="191"/>
      <c r="J13" s="191"/>
      <c r="K13" s="191"/>
      <c r="L13" s="191"/>
      <c r="M13" s="191"/>
    </row>
    <row r="14" spans="1:13" ht="34.5" customHeight="1">
      <c r="A14" s="157" t="s">
        <v>24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30" customHeight="1">
      <c r="A15" s="157" t="s">
        <v>40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30" customHeight="1">
      <c r="A16" s="158" t="s">
        <v>136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2.75" customHeight="1">
      <c r="A17" s="141" t="s">
        <v>0</v>
      </c>
      <c r="B17" s="141" t="s">
        <v>1</v>
      </c>
      <c r="C17" s="14"/>
      <c r="D17" s="141" t="s">
        <v>2</v>
      </c>
      <c r="E17" s="147" t="s">
        <v>3</v>
      </c>
      <c r="F17" s="144" t="s">
        <v>4</v>
      </c>
      <c r="G17" s="144"/>
      <c r="H17" s="144"/>
      <c r="I17" s="159" t="s">
        <v>23</v>
      </c>
      <c r="J17" s="159"/>
      <c r="K17" s="160"/>
      <c r="L17" s="141" t="s">
        <v>5</v>
      </c>
      <c r="M17" s="141" t="s">
        <v>6</v>
      </c>
    </row>
    <row r="18" spans="1:13" ht="6" customHeight="1">
      <c r="A18" s="142"/>
      <c r="B18" s="142"/>
      <c r="C18" s="15"/>
      <c r="D18" s="142"/>
      <c r="E18" s="148"/>
      <c r="F18" s="144"/>
      <c r="G18" s="144"/>
      <c r="H18" s="144"/>
      <c r="I18" s="161"/>
      <c r="J18" s="161"/>
      <c r="K18" s="162"/>
      <c r="L18" s="142"/>
      <c r="M18" s="142"/>
    </row>
    <row r="19" spans="1:20" ht="93" customHeight="1">
      <c r="A19" s="143"/>
      <c r="B19" s="143"/>
      <c r="C19" s="16" t="s">
        <v>58</v>
      </c>
      <c r="D19" s="143"/>
      <c r="E19" s="149"/>
      <c r="F19" s="11" t="s">
        <v>7</v>
      </c>
      <c r="G19" s="11" t="s">
        <v>8</v>
      </c>
      <c r="H19" s="11" t="s">
        <v>9</v>
      </c>
      <c r="I19" s="11" t="s">
        <v>10</v>
      </c>
      <c r="J19" s="12" t="s">
        <v>11</v>
      </c>
      <c r="K19" s="13" t="s">
        <v>12</v>
      </c>
      <c r="L19" s="143"/>
      <c r="M19" s="143"/>
      <c r="N19" s="164" t="s">
        <v>25</v>
      </c>
      <c r="O19" s="165"/>
      <c r="P19" s="4"/>
      <c r="S19" s="22"/>
      <c r="T19" s="81"/>
    </row>
    <row r="20" spans="1:16" ht="17.25" customHeight="1">
      <c r="A20" s="7">
        <v>1</v>
      </c>
      <c r="B20" s="7">
        <v>2</v>
      </c>
      <c r="C20" s="8"/>
      <c r="D20" s="8">
        <v>3</v>
      </c>
      <c r="E20" s="8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153"/>
      <c r="O20" s="153"/>
      <c r="P20" s="153"/>
    </row>
    <row r="21" spans="1:19" ht="23.25" customHeight="1">
      <c r="A21" s="27">
        <v>1</v>
      </c>
      <c r="B21" s="51" t="s">
        <v>13</v>
      </c>
      <c r="C21" s="27">
        <v>16</v>
      </c>
      <c r="D21" s="28">
        <v>1</v>
      </c>
      <c r="E21" s="113">
        <v>7449</v>
      </c>
      <c r="F21" s="5"/>
      <c r="G21" s="64">
        <f>E21/2</f>
        <v>3724.5</v>
      </c>
      <c r="H21" s="29"/>
      <c r="I21" s="5">
        <f>E21*10%</f>
        <v>744.9000000000001</v>
      </c>
      <c r="J21" s="5"/>
      <c r="K21" s="5"/>
      <c r="L21" s="5">
        <f>SUM(E21:K21)</f>
        <v>11918.4</v>
      </c>
      <c r="M21" s="5">
        <f>L21*12</f>
        <v>143020.8</v>
      </c>
      <c r="N21" s="150"/>
      <c r="O21" s="150"/>
      <c r="P21" s="150"/>
      <c r="Q21" t="s">
        <v>68</v>
      </c>
      <c r="R21">
        <v>10</v>
      </c>
      <c r="S21">
        <f>(I41+I67)*6</f>
        <v>19383</v>
      </c>
    </row>
    <row r="22" spans="1:19" ht="63" customHeight="1">
      <c r="A22" s="27">
        <v>2</v>
      </c>
      <c r="B22" s="51" t="s">
        <v>56</v>
      </c>
      <c r="C22" s="27"/>
      <c r="D22" s="28">
        <v>1</v>
      </c>
      <c r="E22" s="113">
        <v>7077</v>
      </c>
      <c r="F22" s="31">
        <f>E22*0.2</f>
        <v>1415.4</v>
      </c>
      <c r="G22" s="5"/>
      <c r="H22" s="29"/>
      <c r="I22" s="64">
        <f>(E22*20)/100</f>
        <v>1415.4</v>
      </c>
      <c r="J22" s="5"/>
      <c r="K22" s="5"/>
      <c r="L22" s="5">
        <f>SUM(E22:K22)</f>
        <v>9907.8</v>
      </c>
      <c r="M22" s="5">
        <f>L22*12</f>
        <v>118893.59999999999</v>
      </c>
      <c r="N22" s="150"/>
      <c r="O22" s="150"/>
      <c r="P22" s="150"/>
      <c r="R22">
        <v>20</v>
      </c>
      <c r="S22" s="22">
        <f>F22+I22</f>
        <v>2830.8</v>
      </c>
    </row>
    <row r="23" spans="1:19" ht="60.75" customHeight="1">
      <c r="A23" s="27">
        <v>3</v>
      </c>
      <c r="B23" s="51" t="s">
        <v>35</v>
      </c>
      <c r="C23" s="27"/>
      <c r="D23" s="28">
        <v>1</v>
      </c>
      <c r="E23" s="113">
        <v>7077</v>
      </c>
      <c r="F23" s="5"/>
      <c r="G23" s="5"/>
      <c r="H23" s="29"/>
      <c r="I23" s="64"/>
      <c r="J23" s="5"/>
      <c r="K23" s="5"/>
      <c r="L23" s="5">
        <f>SUM(E23:K23)</f>
        <v>7077</v>
      </c>
      <c r="M23" s="5">
        <f>L23*12</f>
        <v>84924</v>
      </c>
      <c r="N23" s="150"/>
      <c r="O23" s="150"/>
      <c r="P23" s="150"/>
      <c r="S23">
        <f>I2</f>
        <v>0</v>
      </c>
    </row>
    <row r="24" spans="1:17" ht="62.25" customHeight="1">
      <c r="A24" s="27">
        <v>4</v>
      </c>
      <c r="B24" s="51" t="s">
        <v>130</v>
      </c>
      <c r="C24" s="27"/>
      <c r="D24" s="28">
        <v>1</v>
      </c>
      <c r="E24" s="113">
        <v>7077</v>
      </c>
      <c r="F24" s="5"/>
      <c r="G24" s="5"/>
      <c r="H24" s="29"/>
      <c r="I24" s="64"/>
      <c r="J24" s="5"/>
      <c r="K24" s="5"/>
      <c r="L24" s="5">
        <f>SUM(E24:K24)</f>
        <v>7077</v>
      </c>
      <c r="M24" s="5">
        <f>L24*12</f>
        <v>84924</v>
      </c>
      <c r="N24" s="150"/>
      <c r="O24" s="150"/>
      <c r="P24" s="150"/>
      <c r="Q24" t="s">
        <v>71</v>
      </c>
    </row>
    <row r="25" spans="1:17" ht="21" customHeight="1">
      <c r="A25" s="27">
        <v>5</v>
      </c>
      <c r="B25" s="51" t="s">
        <v>57</v>
      </c>
      <c r="C25" s="27">
        <v>10</v>
      </c>
      <c r="D25" s="28">
        <v>1</v>
      </c>
      <c r="E25" s="5">
        <v>4859</v>
      </c>
      <c r="F25" s="5"/>
      <c r="G25" s="5"/>
      <c r="H25" s="29"/>
      <c r="I25" s="5"/>
      <c r="J25" s="5"/>
      <c r="K25" s="5"/>
      <c r="L25" s="5">
        <f>SUM(E25:K25)</f>
        <v>4859</v>
      </c>
      <c r="M25" s="5">
        <f>L25*12</f>
        <v>58308</v>
      </c>
      <c r="N25" s="151">
        <f>(6000-L25)*6</f>
        <v>6846</v>
      </c>
      <c r="O25" s="152"/>
      <c r="P25" s="30"/>
      <c r="Q25" t="s">
        <v>138</v>
      </c>
    </row>
    <row r="26" spans="1:16" ht="15">
      <c r="A26" s="28"/>
      <c r="B26" s="109" t="s">
        <v>14</v>
      </c>
      <c r="C26" s="32"/>
      <c r="D26" s="33">
        <f>SUM(D21:D25)</f>
        <v>5</v>
      </c>
      <c r="E26" s="65">
        <f>E21+E22++E23+E24+E25</f>
        <v>33539</v>
      </c>
      <c r="F26" s="9">
        <f>SUM(F21:F24)</f>
        <v>1415.4</v>
      </c>
      <c r="G26" s="9">
        <f>SUM(G21:G24)</f>
        <v>3724.5</v>
      </c>
      <c r="H26" s="65"/>
      <c r="I26" s="65">
        <f>SUM(I21:I24)</f>
        <v>2160.3</v>
      </c>
      <c r="J26" s="65"/>
      <c r="K26" s="6"/>
      <c r="L26" s="6">
        <f>SUM(L21:L25)</f>
        <v>40839.2</v>
      </c>
      <c r="M26" s="6">
        <f>SUM(M21:M25)</f>
        <v>490070.39999999997</v>
      </c>
      <c r="N26" s="209">
        <f>N25</f>
        <v>6846</v>
      </c>
      <c r="O26" s="150"/>
      <c r="P26" s="150"/>
    </row>
    <row r="27" spans="1:23" ht="15">
      <c r="A27" s="154" t="s">
        <v>27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6"/>
      <c r="L27" s="34"/>
      <c r="M27" s="34"/>
      <c r="N27" s="150"/>
      <c r="O27" s="150"/>
      <c r="P27" s="150"/>
      <c r="Q27" s="210" t="s">
        <v>177</v>
      </c>
      <c r="R27" s="195"/>
      <c r="S27" s="195"/>
      <c r="T27" s="195"/>
      <c r="U27" s="195"/>
      <c r="V27" s="195"/>
      <c r="W27" s="195"/>
    </row>
    <row r="28" spans="1:18" ht="38.25" customHeight="1">
      <c r="A28" s="27">
        <v>1</v>
      </c>
      <c r="B28" s="37" t="s">
        <v>15</v>
      </c>
      <c r="C28" s="27">
        <v>14</v>
      </c>
      <c r="D28" s="28">
        <v>1</v>
      </c>
      <c r="E28" s="31">
        <v>6461</v>
      </c>
      <c r="F28" s="31"/>
      <c r="G28" s="28"/>
      <c r="H28" s="28"/>
      <c r="I28" s="5">
        <f>(E28*20)/100</f>
        <v>1292.2</v>
      </c>
      <c r="J28" s="28"/>
      <c r="K28" s="27"/>
      <c r="L28" s="31">
        <f>SUM(E28:K28)</f>
        <v>7753.2</v>
      </c>
      <c r="M28" s="31">
        <f>L28*12</f>
        <v>93038.4</v>
      </c>
      <c r="N28" s="150"/>
      <c r="O28" s="150"/>
      <c r="P28" s="150"/>
      <c r="Q28" t="s">
        <v>73</v>
      </c>
      <c r="R28">
        <v>20</v>
      </c>
    </row>
    <row r="29" spans="1:18" ht="29.25" customHeight="1">
      <c r="A29" s="27">
        <v>2</v>
      </c>
      <c r="B29" s="72" t="s">
        <v>16</v>
      </c>
      <c r="C29" s="27">
        <v>12</v>
      </c>
      <c r="D29" s="28">
        <v>1</v>
      </c>
      <c r="E29" s="31">
        <v>5660</v>
      </c>
      <c r="F29" s="28"/>
      <c r="G29" s="28"/>
      <c r="H29" s="28"/>
      <c r="I29" s="5">
        <f>E29*20%</f>
        <v>1132</v>
      </c>
      <c r="J29" s="28"/>
      <c r="K29" s="27"/>
      <c r="L29" s="31">
        <f>SUM(E29:K29)</f>
        <v>6792</v>
      </c>
      <c r="M29" s="31">
        <f>L29*12</f>
        <v>81504</v>
      </c>
      <c r="N29" s="166"/>
      <c r="O29" s="167"/>
      <c r="P29" s="30"/>
      <c r="Q29" s="79" t="s">
        <v>74</v>
      </c>
      <c r="R29">
        <v>20</v>
      </c>
    </row>
    <row r="30" spans="1:18" ht="33.75" customHeight="1">
      <c r="A30" s="27">
        <v>3</v>
      </c>
      <c r="B30" s="72" t="s">
        <v>16</v>
      </c>
      <c r="C30" s="27">
        <v>12</v>
      </c>
      <c r="D30" s="28">
        <v>1</v>
      </c>
      <c r="E30" s="31">
        <v>5660</v>
      </c>
      <c r="F30" s="28"/>
      <c r="G30" s="28"/>
      <c r="H30" s="28"/>
      <c r="I30" s="5">
        <f>E30*20%</f>
        <v>1132</v>
      </c>
      <c r="J30" s="28"/>
      <c r="K30" s="27"/>
      <c r="L30" s="31">
        <f>SUM(E30:K30)</f>
        <v>6792</v>
      </c>
      <c r="M30" s="31">
        <f>L30*12</f>
        <v>81504</v>
      </c>
      <c r="N30" s="166"/>
      <c r="O30" s="167"/>
      <c r="P30" s="30"/>
      <c r="Q30" t="s">
        <v>142</v>
      </c>
      <c r="R30">
        <v>20</v>
      </c>
    </row>
    <row r="31" spans="1:18" ht="33" customHeight="1">
      <c r="A31" s="27">
        <v>4</v>
      </c>
      <c r="B31" s="72" t="s">
        <v>34</v>
      </c>
      <c r="C31" s="27">
        <v>12</v>
      </c>
      <c r="D31" s="28">
        <v>1</v>
      </c>
      <c r="E31" s="31">
        <v>5660</v>
      </c>
      <c r="F31" s="28"/>
      <c r="G31" s="28"/>
      <c r="H31" s="28"/>
      <c r="I31" s="5">
        <f>E31*20%</f>
        <v>1132</v>
      </c>
      <c r="J31" s="28"/>
      <c r="K31" s="27"/>
      <c r="L31" s="31">
        <f>SUM(E31:K31)</f>
        <v>6792</v>
      </c>
      <c r="M31" s="31">
        <f>L31*12</f>
        <v>81504</v>
      </c>
      <c r="N31" s="166"/>
      <c r="O31" s="167"/>
      <c r="P31" s="30"/>
      <c r="Q31" t="s">
        <v>144</v>
      </c>
      <c r="R31">
        <v>20</v>
      </c>
    </row>
    <row r="32" spans="1:18" ht="18" customHeight="1">
      <c r="A32" s="27">
        <v>5</v>
      </c>
      <c r="B32" s="72" t="s">
        <v>34</v>
      </c>
      <c r="C32" s="27">
        <v>12</v>
      </c>
      <c r="D32" s="28">
        <v>1</v>
      </c>
      <c r="E32" s="31">
        <v>5660</v>
      </c>
      <c r="F32" s="28"/>
      <c r="G32" s="28"/>
      <c r="H32" s="28"/>
      <c r="I32" s="5">
        <f>E32*0.1</f>
        <v>566</v>
      </c>
      <c r="J32" s="28"/>
      <c r="K32" s="27"/>
      <c r="L32" s="31">
        <f>SUM(E32:K32)</f>
        <v>6226</v>
      </c>
      <c r="M32" s="31">
        <f>L32*12</f>
        <v>74712</v>
      </c>
      <c r="N32" s="166"/>
      <c r="O32" s="167"/>
      <c r="P32" s="30"/>
      <c r="Q32" t="s">
        <v>78</v>
      </c>
      <c r="R32">
        <v>10</v>
      </c>
    </row>
    <row r="33" spans="1:16" ht="15">
      <c r="A33" s="35"/>
      <c r="B33" s="110" t="s">
        <v>14</v>
      </c>
      <c r="C33" s="32"/>
      <c r="D33" s="33">
        <f>SUM(D28:D32)</f>
        <v>5</v>
      </c>
      <c r="E33" s="36">
        <f>SUM(E28:E32)</f>
        <v>29101</v>
      </c>
      <c r="F33" s="36">
        <f>SUM(F28:F32)</f>
        <v>0</v>
      </c>
      <c r="G33" s="32"/>
      <c r="H33" s="32"/>
      <c r="I33" s="66">
        <f>SUM(I28:I32)</f>
        <v>5254.2</v>
      </c>
      <c r="J33" s="32"/>
      <c r="K33" s="32"/>
      <c r="L33" s="36">
        <f>SUM(L28:L32)</f>
        <v>34355.2</v>
      </c>
      <c r="M33" s="36">
        <f>SUM(M28:M32)</f>
        <v>412262.4</v>
      </c>
      <c r="N33" s="150"/>
      <c r="O33" s="150"/>
      <c r="P33" s="150"/>
    </row>
    <row r="34" spans="1:19" ht="23.25" customHeight="1">
      <c r="A34" s="154" t="s">
        <v>36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6"/>
      <c r="N34" s="163"/>
      <c r="O34" s="163"/>
      <c r="P34" s="163"/>
      <c r="Q34" s="79"/>
      <c r="R34" s="79"/>
      <c r="S34" s="17"/>
    </row>
    <row r="35" spans="1:17" ht="24" customHeight="1">
      <c r="A35" s="28">
        <v>1</v>
      </c>
      <c r="B35" s="53" t="s">
        <v>17</v>
      </c>
      <c r="C35" s="28"/>
      <c r="D35" s="28">
        <v>1</v>
      </c>
      <c r="E35" s="91">
        <v>6704</v>
      </c>
      <c r="F35" s="28"/>
      <c r="G35" s="28"/>
      <c r="H35" s="28"/>
      <c r="I35" s="28"/>
      <c r="J35" s="28"/>
      <c r="K35" s="27"/>
      <c r="L35" s="31">
        <f>SUM(E35:K35)</f>
        <v>6704</v>
      </c>
      <c r="M35" s="31">
        <f>L35*12</f>
        <v>80448</v>
      </c>
      <c r="N35" s="150"/>
      <c r="O35" s="150"/>
      <c r="P35" s="150"/>
      <c r="Q35" t="s">
        <v>104</v>
      </c>
    </row>
    <row r="36" spans="1:16" ht="21" customHeight="1">
      <c r="A36" s="27">
        <v>2</v>
      </c>
      <c r="B36" s="51" t="s">
        <v>37</v>
      </c>
      <c r="C36" s="27">
        <v>10</v>
      </c>
      <c r="D36" s="28">
        <v>1</v>
      </c>
      <c r="E36" s="31">
        <v>4859</v>
      </c>
      <c r="F36" s="28"/>
      <c r="G36" s="28"/>
      <c r="H36" s="28"/>
      <c r="I36" s="28"/>
      <c r="J36" s="28"/>
      <c r="K36" s="27"/>
      <c r="L36" s="31">
        <f>SUM(E36:K36)</f>
        <v>4859</v>
      </c>
      <c r="M36" s="31">
        <f>L36*12</f>
        <v>58308</v>
      </c>
      <c r="N36" s="150">
        <f>(6000-L36)*12</f>
        <v>13692</v>
      </c>
      <c r="O36" s="150"/>
      <c r="P36" s="150"/>
    </row>
    <row r="37" spans="1:17" ht="19.5" customHeight="1">
      <c r="A37" s="27">
        <v>3</v>
      </c>
      <c r="B37" s="51" t="s">
        <v>37</v>
      </c>
      <c r="C37" s="27">
        <v>10</v>
      </c>
      <c r="D37" s="28">
        <v>1</v>
      </c>
      <c r="E37" s="31">
        <v>4859</v>
      </c>
      <c r="F37" s="28"/>
      <c r="G37" s="28"/>
      <c r="H37" s="28"/>
      <c r="I37" s="28"/>
      <c r="J37" s="28"/>
      <c r="K37" s="27"/>
      <c r="L37" s="31">
        <f>SUM(E37:K37)</f>
        <v>4859</v>
      </c>
      <c r="M37" s="31">
        <f>L37*12</f>
        <v>58308</v>
      </c>
      <c r="N37" s="150">
        <v>13692</v>
      </c>
      <c r="O37" s="150"/>
      <c r="P37" s="150"/>
      <c r="Q37" t="s">
        <v>120</v>
      </c>
    </row>
    <row r="38" spans="1:17" ht="19.5" customHeight="1">
      <c r="A38" s="27">
        <v>4</v>
      </c>
      <c r="B38" s="51" t="s">
        <v>26</v>
      </c>
      <c r="C38" s="27">
        <v>10</v>
      </c>
      <c r="D38" s="28">
        <v>1</v>
      </c>
      <c r="E38" s="31">
        <v>4859</v>
      </c>
      <c r="F38" s="28"/>
      <c r="G38" s="28"/>
      <c r="H38" s="28"/>
      <c r="I38" s="28"/>
      <c r="J38" s="28"/>
      <c r="K38" s="27"/>
      <c r="L38" s="31">
        <f>SUM(E38:K38)</f>
        <v>4859</v>
      </c>
      <c r="M38" s="31">
        <f>L38*12</f>
        <v>58308</v>
      </c>
      <c r="N38" s="166">
        <v>13692</v>
      </c>
      <c r="O38" s="167"/>
      <c r="P38" s="30"/>
      <c r="Q38" t="s">
        <v>82</v>
      </c>
    </row>
    <row r="39" spans="1:16" ht="21" customHeight="1">
      <c r="A39" s="35"/>
      <c r="B39" s="109" t="s">
        <v>14</v>
      </c>
      <c r="C39" s="32"/>
      <c r="D39" s="33">
        <f>SUM(D35:D38)</f>
        <v>4</v>
      </c>
      <c r="E39" s="36">
        <f>SUM(E35:E38)</f>
        <v>21281</v>
      </c>
      <c r="F39" s="32"/>
      <c r="G39" s="32"/>
      <c r="H39" s="32"/>
      <c r="I39" s="32"/>
      <c r="J39" s="32"/>
      <c r="K39" s="32"/>
      <c r="L39" s="36">
        <f>SUM(L35:L38)</f>
        <v>21281</v>
      </c>
      <c r="M39" s="36">
        <f>SUM(M35:M38)</f>
        <v>255372</v>
      </c>
      <c r="N39" s="150">
        <f>N37+N36+N38</f>
        <v>41076</v>
      </c>
      <c r="O39" s="150"/>
      <c r="P39" s="150"/>
    </row>
    <row r="40" spans="1:18" ht="27" customHeight="1">
      <c r="A40" s="154" t="s">
        <v>146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6"/>
      <c r="N40" s="163"/>
      <c r="O40" s="163"/>
      <c r="P40" s="163"/>
      <c r="Q40" s="79"/>
      <c r="R40" s="79"/>
    </row>
    <row r="41" spans="1:17" ht="29.25" customHeight="1">
      <c r="A41" s="103">
        <v>1</v>
      </c>
      <c r="B41" s="104" t="s">
        <v>128</v>
      </c>
      <c r="C41" s="77">
        <v>14</v>
      </c>
      <c r="D41" s="77">
        <v>1</v>
      </c>
      <c r="E41" s="97">
        <v>6461</v>
      </c>
      <c r="F41" s="77"/>
      <c r="G41" s="77"/>
      <c r="H41" s="77"/>
      <c r="I41" s="97">
        <f>E41*0.3</f>
        <v>1938.3</v>
      </c>
      <c r="J41" s="96"/>
      <c r="K41" s="92"/>
      <c r="L41" s="108">
        <f>SUM(E41:K41)</f>
        <v>8399.3</v>
      </c>
      <c r="M41" s="108">
        <f>L41*12</f>
        <v>100791.59999999999</v>
      </c>
      <c r="N41" s="105"/>
      <c r="O41" s="106"/>
      <c r="P41" s="107"/>
      <c r="Q41" t="s">
        <v>83</v>
      </c>
    </row>
    <row r="42" spans="1:18" ht="31.5" customHeight="1">
      <c r="A42" s="27">
        <v>2</v>
      </c>
      <c r="B42" s="88" t="s">
        <v>128</v>
      </c>
      <c r="C42" s="76">
        <v>14</v>
      </c>
      <c r="D42" s="76">
        <v>1</v>
      </c>
      <c r="E42" s="31">
        <v>6461</v>
      </c>
      <c r="F42" s="28"/>
      <c r="G42" s="28"/>
      <c r="H42" s="28"/>
      <c r="I42" s="31">
        <f>E42*0.2</f>
        <v>1292.2</v>
      </c>
      <c r="J42" s="28"/>
      <c r="K42" s="27"/>
      <c r="L42" s="31">
        <f>SUM(E42:K42)</f>
        <v>7753.2</v>
      </c>
      <c r="M42" s="116">
        <f>L42*12</f>
        <v>93038.4</v>
      </c>
      <c r="N42" s="150"/>
      <c r="O42" s="150"/>
      <c r="P42" s="150"/>
      <c r="Q42" t="s">
        <v>84</v>
      </c>
      <c r="R42">
        <v>20</v>
      </c>
    </row>
    <row r="43" spans="1:17" ht="29.25" customHeight="1">
      <c r="A43" s="27">
        <v>3</v>
      </c>
      <c r="B43" s="92" t="s">
        <v>128</v>
      </c>
      <c r="C43" s="76">
        <v>14</v>
      </c>
      <c r="D43" s="76">
        <v>1</v>
      </c>
      <c r="E43" s="31">
        <v>6461</v>
      </c>
      <c r="F43" s="28"/>
      <c r="G43" s="28"/>
      <c r="H43" s="28"/>
      <c r="I43" s="31">
        <f>E43*0.1</f>
        <v>646.1</v>
      </c>
      <c r="J43" s="28"/>
      <c r="K43" s="27"/>
      <c r="L43" s="31">
        <f>SUM(E43:K43)</f>
        <v>7107.1</v>
      </c>
      <c r="M43" s="116">
        <f>L43*12</f>
        <v>85285.20000000001</v>
      </c>
      <c r="N43" s="205"/>
      <c r="O43" s="205"/>
      <c r="P43" s="205"/>
      <c r="Q43" t="s">
        <v>139</v>
      </c>
    </row>
    <row r="44" spans="1:18" ht="33.75" customHeight="1">
      <c r="A44" s="27">
        <v>4</v>
      </c>
      <c r="B44" s="92" t="s">
        <v>145</v>
      </c>
      <c r="C44" s="76">
        <v>14</v>
      </c>
      <c r="D44" s="76">
        <v>1</v>
      </c>
      <c r="E44" s="31">
        <v>6461</v>
      </c>
      <c r="F44" s="28"/>
      <c r="G44" s="28"/>
      <c r="H44" s="28"/>
      <c r="I44" s="31">
        <f>E44*0.2</f>
        <v>1292.2</v>
      </c>
      <c r="J44" s="28"/>
      <c r="K44" s="27"/>
      <c r="L44" s="31">
        <f>SUM(E44:K44)</f>
        <v>7753.2</v>
      </c>
      <c r="M44" s="116">
        <f>L44*12</f>
        <v>93038.4</v>
      </c>
      <c r="N44" s="30"/>
      <c r="O44" s="30"/>
      <c r="P44" s="30"/>
      <c r="Q44" t="s">
        <v>132</v>
      </c>
      <c r="R44">
        <v>20</v>
      </c>
    </row>
    <row r="45" spans="1:16" ht="21" customHeight="1">
      <c r="A45" s="35"/>
      <c r="B45" s="102" t="s">
        <v>14</v>
      </c>
      <c r="C45" s="33"/>
      <c r="D45" s="33">
        <f aca="true" t="shared" si="0" ref="D45:N45">SUM(D41:D44)</f>
        <v>4</v>
      </c>
      <c r="E45" s="38">
        <f t="shared" si="0"/>
        <v>25844</v>
      </c>
      <c r="F45" s="33">
        <f t="shared" si="0"/>
        <v>0</v>
      </c>
      <c r="G45" s="33">
        <f t="shared" si="0"/>
        <v>0</v>
      </c>
      <c r="H45" s="33">
        <f t="shared" si="0"/>
        <v>0</v>
      </c>
      <c r="I45" s="38">
        <f t="shared" si="0"/>
        <v>5168.8</v>
      </c>
      <c r="J45" s="33">
        <f t="shared" si="0"/>
        <v>0</v>
      </c>
      <c r="K45" s="33">
        <f t="shared" si="0"/>
        <v>0</v>
      </c>
      <c r="L45" s="38">
        <f t="shared" si="0"/>
        <v>31012.8</v>
      </c>
      <c r="M45" s="38">
        <f t="shared" si="0"/>
        <v>372153.6</v>
      </c>
      <c r="N45" s="171">
        <f t="shared" si="0"/>
        <v>0</v>
      </c>
      <c r="O45" s="172"/>
      <c r="P45" s="30"/>
    </row>
    <row r="46" spans="1:16" ht="21" customHeight="1">
      <c r="A46" s="40"/>
      <c r="B46" s="206" t="s">
        <v>174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94"/>
      <c r="O46" s="95"/>
      <c r="P46" s="30"/>
    </row>
    <row r="47" spans="1:17" ht="48" customHeight="1">
      <c r="A47" s="40"/>
      <c r="B47" s="104" t="s">
        <v>147</v>
      </c>
      <c r="C47" s="41">
        <v>14</v>
      </c>
      <c r="D47" s="41">
        <v>1</v>
      </c>
      <c r="E47" s="93">
        <v>6461</v>
      </c>
      <c r="F47" s="41"/>
      <c r="G47" s="41"/>
      <c r="H47" s="41"/>
      <c r="I47" s="93">
        <f>E47*0.2</f>
        <v>1292.2</v>
      </c>
      <c r="J47" s="41"/>
      <c r="K47" s="41"/>
      <c r="L47" s="93">
        <f>E47+F47+G47+H47+I47+J47+K47</f>
        <v>7753.2</v>
      </c>
      <c r="M47" s="93">
        <f>L47*12</f>
        <v>93038.4</v>
      </c>
      <c r="N47" s="111"/>
      <c r="O47" s="112"/>
      <c r="P47" s="30"/>
      <c r="Q47" t="s">
        <v>163</v>
      </c>
    </row>
    <row r="48" spans="1:16" ht="31.5" customHeight="1">
      <c r="A48" s="40"/>
      <c r="B48" s="92" t="s">
        <v>145</v>
      </c>
      <c r="C48" s="41">
        <v>14</v>
      </c>
      <c r="D48" s="41">
        <v>1</v>
      </c>
      <c r="E48" s="93">
        <v>6461</v>
      </c>
      <c r="F48" s="41"/>
      <c r="G48" s="41"/>
      <c r="H48" s="41"/>
      <c r="I48" s="93">
        <f>E48*0.2</f>
        <v>1292.2</v>
      </c>
      <c r="J48" s="41"/>
      <c r="K48" s="41"/>
      <c r="L48" s="93">
        <f>E48+F48+G48+H48+I48+J48+K48</f>
        <v>7753.2</v>
      </c>
      <c r="M48" s="117">
        <f>L48*12</f>
        <v>93038.4</v>
      </c>
      <c r="N48" s="111"/>
      <c r="O48" s="112"/>
      <c r="P48" s="30"/>
    </row>
    <row r="49" spans="1:16" ht="21" customHeight="1">
      <c r="A49" s="40"/>
      <c r="B49" s="102" t="s">
        <v>14</v>
      </c>
      <c r="C49" s="33"/>
      <c r="D49" s="33">
        <v>2</v>
      </c>
      <c r="E49" s="38">
        <f>E47+E48</f>
        <v>12922</v>
      </c>
      <c r="F49" s="38">
        <f aca="true" t="shared" si="1" ref="F49:M49">F47+F48</f>
        <v>0</v>
      </c>
      <c r="G49" s="38">
        <f t="shared" si="1"/>
        <v>0</v>
      </c>
      <c r="H49" s="38">
        <f t="shared" si="1"/>
        <v>0</v>
      </c>
      <c r="I49" s="38">
        <f t="shared" si="1"/>
        <v>2584.4</v>
      </c>
      <c r="J49" s="38">
        <f t="shared" si="1"/>
        <v>0</v>
      </c>
      <c r="K49" s="38">
        <f t="shared" si="1"/>
        <v>0</v>
      </c>
      <c r="L49" s="38">
        <f t="shared" si="1"/>
        <v>15506.4</v>
      </c>
      <c r="M49" s="38">
        <f t="shared" si="1"/>
        <v>186076.8</v>
      </c>
      <c r="N49" s="38">
        <f>N45+N47+N48</f>
        <v>0</v>
      </c>
      <c r="O49" s="38">
        <f>O45+O47+O48</f>
        <v>0</v>
      </c>
      <c r="P49" s="30"/>
    </row>
    <row r="50" spans="1:16" ht="21" customHeight="1">
      <c r="A50" s="40"/>
      <c r="B50" s="182" t="s">
        <v>164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4"/>
      <c r="N50" s="94"/>
      <c r="O50" s="95"/>
      <c r="P50" s="30"/>
    </row>
    <row r="51" spans="1:17" ht="21" customHeight="1">
      <c r="A51" s="40"/>
      <c r="B51" s="73" t="s">
        <v>149</v>
      </c>
      <c r="C51" s="41">
        <v>14</v>
      </c>
      <c r="D51" s="41">
        <v>1</v>
      </c>
      <c r="E51" s="93">
        <v>6461</v>
      </c>
      <c r="F51" s="41"/>
      <c r="G51" s="41"/>
      <c r="H51" s="41" t="s">
        <v>143</v>
      </c>
      <c r="I51" s="93">
        <f>E51*0.2</f>
        <v>1292.2</v>
      </c>
      <c r="J51" s="41"/>
      <c r="K51" s="41"/>
      <c r="L51" s="93">
        <f>E51+I51</f>
        <v>7753.2</v>
      </c>
      <c r="M51" s="93">
        <f aca="true" t="shared" si="2" ref="M51:M56">L51*12</f>
        <v>93038.4</v>
      </c>
      <c r="N51" s="111"/>
      <c r="O51" s="112"/>
      <c r="P51" s="30"/>
      <c r="Q51" t="s">
        <v>176</v>
      </c>
    </row>
    <row r="52" spans="1:17" ht="21" customHeight="1">
      <c r="A52" s="40"/>
      <c r="B52" s="73" t="s">
        <v>150</v>
      </c>
      <c r="C52" s="41">
        <v>12</v>
      </c>
      <c r="D52" s="41">
        <v>1</v>
      </c>
      <c r="E52" s="93">
        <v>5660</v>
      </c>
      <c r="F52" s="41"/>
      <c r="G52" s="41"/>
      <c r="H52" s="41"/>
      <c r="I52" s="93">
        <f>E52*0.2</f>
        <v>1132</v>
      </c>
      <c r="J52" s="41"/>
      <c r="K52" s="41"/>
      <c r="L52" s="93">
        <f>E52+I52</f>
        <v>6792</v>
      </c>
      <c r="M52" s="117">
        <f t="shared" si="2"/>
        <v>81504</v>
      </c>
      <c r="N52" s="111"/>
      <c r="O52" s="112"/>
      <c r="P52" s="30"/>
      <c r="Q52" t="s">
        <v>75</v>
      </c>
    </row>
    <row r="53" spans="1:17" ht="21" customHeight="1">
      <c r="A53" s="40"/>
      <c r="B53" s="73" t="s">
        <v>150</v>
      </c>
      <c r="C53" s="41">
        <v>12</v>
      </c>
      <c r="D53" s="41">
        <v>1</v>
      </c>
      <c r="E53" s="93">
        <v>5660</v>
      </c>
      <c r="F53" s="41"/>
      <c r="G53" s="41"/>
      <c r="H53" s="41"/>
      <c r="I53" s="93">
        <f>E53*0.1</f>
        <v>566</v>
      </c>
      <c r="J53" s="41"/>
      <c r="K53" s="41"/>
      <c r="L53" s="93">
        <f>E53+I53</f>
        <v>6226</v>
      </c>
      <c r="M53" s="117">
        <f t="shared" si="2"/>
        <v>74712</v>
      </c>
      <c r="N53" s="111"/>
      <c r="O53" s="112"/>
      <c r="P53" s="30"/>
      <c r="Q53" t="s">
        <v>165</v>
      </c>
    </row>
    <row r="54" spans="1:23" ht="21" customHeight="1">
      <c r="A54" s="40"/>
      <c r="B54" s="73" t="s">
        <v>150</v>
      </c>
      <c r="C54" s="41">
        <v>12</v>
      </c>
      <c r="D54" s="41">
        <v>1</v>
      </c>
      <c r="E54" s="93">
        <v>5660</v>
      </c>
      <c r="F54" s="41"/>
      <c r="G54" s="41"/>
      <c r="H54" s="41"/>
      <c r="I54" s="93">
        <f>E54*0.2</f>
        <v>1132</v>
      </c>
      <c r="J54" s="41"/>
      <c r="K54" s="41"/>
      <c r="L54" s="93">
        <f>E54+I54</f>
        <v>6792</v>
      </c>
      <c r="M54" s="117">
        <f t="shared" si="2"/>
        <v>81504</v>
      </c>
      <c r="N54" s="111"/>
      <c r="O54" s="112"/>
      <c r="P54" s="30"/>
      <c r="W54" t="s">
        <v>135</v>
      </c>
    </row>
    <row r="55" spans="1:18" ht="21" customHeight="1">
      <c r="A55" s="40"/>
      <c r="B55" s="73" t="s">
        <v>151</v>
      </c>
      <c r="C55" s="41">
        <v>14</v>
      </c>
      <c r="D55" s="41">
        <v>1</v>
      </c>
      <c r="E55" s="93">
        <v>6461</v>
      </c>
      <c r="F55" s="41"/>
      <c r="G55" s="41"/>
      <c r="H55" s="41"/>
      <c r="I55" s="93">
        <f>E55*0.2</f>
        <v>1292.2</v>
      </c>
      <c r="J55" s="41"/>
      <c r="K55" s="41"/>
      <c r="L55" s="93">
        <f>E55+I55</f>
        <v>7753.2</v>
      </c>
      <c r="M55" s="117">
        <f t="shared" si="2"/>
        <v>93038.4</v>
      </c>
      <c r="N55" s="111"/>
      <c r="O55" s="112"/>
      <c r="P55" s="30"/>
      <c r="Q55" s="210" t="s">
        <v>26</v>
      </c>
      <c r="R55" s="195"/>
    </row>
    <row r="56" spans="1:17" ht="61.5" customHeight="1">
      <c r="A56" s="40"/>
      <c r="B56" s="73" t="s">
        <v>152</v>
      </c>
      <c r="C56" s="41">
        <v>10</v>
      </c>
      <c r="D56" s="41">
        <v>2</v>
      </c>
      <c r="E56" s="31">
        <v>4859</v>
      </c>
      <c r="F56" s="41"/>
      <c r="G56" s="41"/>
      <c r="H56" s="41"/>
      <c r="I56" s="93">
        <f>E56*0.2</f>
        <v>971.8000000000001</v>
      </c>
      <c r="J56" s="41"/>
      <c r="K56" s="41"/>
      <c r="L56" s="93">
        <v>11661.6</v>
      </c>
      <c r="M56" s="117">
        <f t="shared" si="2"/>
        <v>139939.2</v>
      </c>
      <c r="N56" s="111"/>
      <c r="O56" s="112"/>
      <c r="P56" s="30"/>
      <c r="Q56" t="s">
        <v>175</v>
      </c>
    </row>
    <row r="57" spans="1:16" ht="21" customHeight="1">
      <c r="A57" s="40"/>
      <c r="B57" s="102" t="s">
        <v>14</v>
      </c>
      <c r="C57" s="41"/>
      <c r="D57" s="41">
        <f>SUM(D51:D56)</f>
        <v>7</v>
      </c>
      <c r="E57" s="93">
        <f aca="true" t="shared" si="3" ref="E57:L57">SUM(E51:E56)</f>
        <v>34761</v>
      </c>
      <c r="F57" s="41">
        <f t="shared" si="3"/>
        <v>0</v>
      </c>
      <c r="G57" s="41">
        <f t="shared" si="3"/>
        <v>0</v>
      </c>
      <c r="H57" s="41">
        <f t="shared" si="3"/>
        <v>0</v>
      </c>
      <c r="I57" s="93">
        <f>SUM(I51:I56)</f>
        <v>6386.2</v>
      </c>
      <c r="J57" s="41">
        <f t="shared" si="3"/>
        <v>0</v>
      </c>
      <c r="K57" s="41">
        <f t="shared" si="3"/>
        <v>0</v>
      </c>
      <c r="L57" s="41">
        <f t="shared" si="3"/>
        <v>46978</v>
      </c>
      <c r="M57" s="33">
        <f>SUM(M51:M56)</f>
        <v>563736</v>
      </c>
      <c r="N57" s="41">
        <f>SUM(N51:N56)</f>
        <v>0</v>
      </c>
      <c r="O57" s="41">
        <f>SUM(O51:O56)</f>
        <v>0</v>
      </c>
      <c r="P57" s="30"/>
    </row>
    <row r="58" spans="1:18" ht="30" customHeight="1">
      <c r="A58" s="39"/>
      <c r="B58" s="182" t="s">
        <v>65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87"/>
      <c r="O58" s="87"/>
      <c r="P58" s="87"/>
      <c r="Q58" s="79"/>
      <c r="R58" s="79"/>
    </row>
    <row r="59" spans="1:17" ht="18" customHeight="1">
      <c r="A59" s="61"/>
      <c r="B59" s="53" t="s">
        <v>160</v>
      </c>
      <c r="C59" s="28">
        <v>13</v>
      </c>
      <c r="D59" s="41">
        <v>1</v>
      </c>
      <c r="E59" s="93">
        <v>6461</v>
      </c>
      <c r="F59" s="43"/>
      <c r="G59" s="43"/>
      <c r="H59" s="43"/>
      <c r="I59" s="28"/>
      <c r="J59" s="43"/>
      <c r="K59" s="43"/>
      <c r="L59" s="31">
        <f>SUM(E59:K59)</f>
        <v>6461</v>
      </c>
      <c r="M59" s="31">
        <f>L59*D59*12</f>
        <v>77532</v>
      </c>
      <c r="N59" s="30"/>
      <c r="O59" s="30"/>
      <c r="P59" s="30"/>
      <c r="Q59" t="s">
        <v>86</v>
      </c>
    </row>
    <row r="60" spans="1:17" ht="33" customHeight="1">
      <c r="A60" s="61"/>
      <c r="B60" s="53" t="s">
        <v>39</v>
      </c>
      <c r="C60" s="28">
        <v>12</v>
      </c>
      <c r="D60" s="41">
        <v>1</v>
      </c>
      <c r="E60" s="93">
        <v>5660</v>
      </c>
      <c r="F60" s="43"/>
      <c r="G60" s="43"/>
      <c r="H60" s="43"/>
      <c r="I60" s="28"/>
      <c r="J60" s="43"/>
      <c r="K60" s="43"/>
      <c r="L60" s="31">
        <f>SUM(E60:K60)</f>
        <v>5660</v>
      </c>
      <c r="M60" s="31">
        <f>L60*D60*12</f>
        <v>67920</v>
      </c>
      <c r="N60" s="30"/>
      <c r="O60" s="30">
        <v>4080</v>
      </c>
      <c r="P60" s="30"/>
      <c r="Q60" t="s">
        <v>161</v>
      </c>
    </row>
    <row r="61" spans="1:17" ht="37.5" customHeight="1">
      <c r="A61" s="61">
        <v>2</v>
      </c>
      <c r="B61" s="53" t="s">
        <v>39</v>
      </c>
      <c r="C61" s="28">
        <v>12</v>
      </c>
      <c r="D61" s="41">
        <v>1</v>
      </c>
      <c r="E61" s="89">
        <v>5660</v>
      </c>
      <c r="F61" s="114">
        <f>E61*15%</f>
        <v>849</v>
      </c>
      <c r="G61" s="43"/>
      <c r="H61" s="43"/>
      <c r="I61" s="28"/>
      <c r="J61" s="43"/>
      <c r="K61" s="43"/>
      <c r="L61" s="31">
        <f>E61+F61+H61+I61+J61+K61</f>
        <v>6509</v>
      </c>
      <c r="M61" s="31">
        <f>L61*D61*12</f>
        <v>78108</v>
      </c>
      <c r="N61" s="30"/>
      <c r="O61" s="30"/>
      <c r="P61" s="30"/>
      <c r="Q61" t="s">
        <v>162</v>
      </c>
    </row>
    <row r="62" spans="1:17" ht="21" customHeight="1">
      <c r="A62" s="61">
        <v>3</v>
      </c>
      <c r="B62" s="53" t="s">
        <v>31</v>
      </c>
      <c r="C62" s="28">
        <v>11</v>
      </c>
      <c r="D62" s="41">
        <v>3</v>
      </c>
      <c r="E62" s="89">
        <v>5260</v>
      </c>
      <c r="F62" s="43"/>
      <c r="G62" s="43"/>
      <c r="H62" s="43"/>
      <c r="I62" s="28"/>
      <c r="J62" s="43"/>
      <c r="K62" s="43"/>
      <c r="L62" s="31">
        <f>SUM(E62:K62)*D62</f>
        <v>15780</v>
      </c>
      <c r="M62" s="31">
        <v>189360</v>
      </c>
      <c r="N62" s="30"/>
      <c r="O62" s="30">
        <f>(6000-E62)*36</f>
        <v>26640</v>
      </c>
      <c r="P62" s="30"/>
      <c r="Q62" t="s">
        <v>148</v>
      </c>
    </row>
    <row r="63" spans="1:16" ht="20.25" customHeight="1">
      <c r="A63" s="40"/>
      <c r="B63" s="109" t="s">
        <v>14</v>
      </c>
      <c r="C63" s="33"/>
      <c r="D63" s="33">
        <f>SUM(D59:D62)</f>
        <v>6</v>
      </c>
      <c r="E63" s="38">
        <f>SUM(E59:E62)</f>
        <v>23041</v>
      </c>
      <c r="F63" s="44"/>
      <c r="G63" s="44"/>
      <c r="H63" s="44"/>
      <c r="I63" s="33"/>
      <c r="J63" s="44"/>
      <c r="K63" s="44"/>
      <c r="L63" s="38">
        <f>SUM(L59:L62)</f>
        <v>34410</v>
      </c>
      <c r="M63" s="31">
        <f>SUM(M59:M62)</f>
        <v>412920</v>
      </c>
      <c r="N63" s="30"/>
      <c r="O63" s="30">
        <f>O61+O62+O60</f>
        <v>30720</v>
      </c>
      <c r="P63" s="30"/>
    </row>
    <row r="64" spans="1:18" ht="24" customHeight="1">
      <c r="A64" s="182" t="s">
        <v>153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4"/>
      <c r="N64" s="163"/>
      <c r="O64" s="163"/>
      <c r="P64" s="163"/>
      <c r="Q64" s="79"/>
      <c r="R64" s="79"/>
    </row>
    <row r="65" spans="1:17" ht="20.25" customHeight="1">
      <c r="A65" s="27">
        <v>1</v>
      </c>
      <c r="B65" s="51" t="s">
        <v>15</v>
      </c>
      <c r="C65" s="27">
        <v>14</v>
      </c>
      <c r="D65" s="28">
        <v>1</v>
      </c>
      <c r="E65" s="31">
        <v>6461</v>
      </c>
      <c r="F65" s="31">
        <f>E65*0.2</f>
        <v>1292.2</v>
      </c>
      <c r="G65" s="28"/>
      <c r="H65" s="28"/>
      <c r="I65" s="31">
        <f>(E65*20)/100</f>
        <v>1292.2</v>
      </c>
      <c r="J65" s="28"/>
      <c r="K65" s="27"/>
      <c r="L65" s="31">
        <f>SUM(E65:K65)</f>
        <v>9045.4</v>
      </c>
      <c r="M65" s="31">
        <f>L65*12</f>
        <v>108544.79999999999</v>
      </c>
      <c r="N65" s="150"/>
      <c r="O65" s="150"/>
      <c r="P65" s="150"/>
      <c r="Q65" t="s">
        <v>93</v>
      </c>
    </row>
    <row r="66" spans="1:17" ht="20.25" customHeight="1">
      <c r="A66" s="27">
        <v>2</v>
      </c>
      <c r="B66" s="73" t="s">
        <v>123</v>
      </c>
      <c r="C66" s="27">
        <v>12</v>
      </c>
      <c r="D66" s="28">
        <v>1</v>
      </c>
      <c r="E66" s="31">
        <v>5660</v>
      </c>
      <c r="F66" s="28"/>
      <c r="G66" s="28"/>
      <c r="H66" s="28"/>
      <c r="I66" s="31">
        <f>E66*0.2</f>
        <v>1132</v>
      </c>
      <c r="J66" s="28"/>
      <c r="K66" s="27"/>
      <c r="L66" s="31">
        <f>SUM(E66:K66)</f>
        <v>6792</v>
      </c>
      <c r="M66" s="31">
        <f>L66*12</f>
        <v>81504</v>
      </c>
      <c r="N66" s="150"/>
      <c r="O66" s="150"/>
      <c r="P66" s="150"/>
      <c r="Q66" t="s">
        <v>97</v>
      </c>
    </row>
    <row r="67" spans="1:17" ht="18.75" customHeight="1">
      <c r="A67" s="27">
        <v>3</v>
      </c>
      <c r="B67" s="73" t="s">
        <v>154</v>
      </c>
      <c r="C67" s="27">
        <v>14</v>
      </c>
      <c r="D67" s="28">
        <v>1</v>
      </c>
      <c r="E67" s="31">
        <v>6461</v>
      </c>
      <c r="F67" s="28"/>
      <c r="G67" s="28"/>
      <c r="H67" s="28"/>
      <c r="I67" s="31">
        <f>E67*0.2</f>
        <v>1292.2</v>
      </c>
      <c r="J67" s="28"/>
      <c r="K67" s="27"/>
      <c r="L67" s="31">
        <f>SUM(E67:K67)</f>
        <v>7753.2</v>
      </c>
      <c r="M67" s="31">
        <f>L67*12</f>
        <v>93038.4</v>
      </c>
      <c r="N67" s="30"/>
      <c r="O67" s="30"/>
      <c r="P67" s="30"/>
      <c r="Q67" t="s">
        <v>141</v>
      </c>
    </row>
    <row r="68" spans="1:17" ht="21" customHeight="1">
      <c r="A68" s="27">
        <v>4</v>
      </c>
      <c r="B68" s="73" t="s">
        <v>155</v>
      </c>
      <c r="C68" s="27">
        <v>9</v>
      </c>
      <c r="D68" s="28">
        <v>0.75</v>
      </c>
      <c r="E68" s="93">
        <v>4619</v>
      </c>
      <c r="F68" s="28"/>
      <c r="G68" s="28"/>
      <c r="H68" s="28"/>
      <c r="I68" s="31">
        <f>(E68*75%)*0.1</f>
        <v>346.425</v>
      </c>
      <c r="J68" s="28"/>
      <c r="K68" s="27"/>
      <c r="L68" s="31">
        <f>(E68*75%)+I68</f>
        <v>3810.675</v>
      </c>
      <c r="M68" s="31">
        <f>L68*12</f>
        <v>45728.100000000006</v>
      </c>
      <c r="N68" s="30"/>
      <c r="O68" s="30">
        <f>(4500-L68)*6</f>
        <v>4135.949999999999</v>
      </c>
      <c r="P68" s="30"/>
      <c r="Q68" t="s">
        <v>156</v>
      </c>
    </row>
    <row r="69" spans="1:16" ht="15">
      <c r="A69" s="35"/>
      <c r="B69" s="102" t="s">
        <v>14</v>
      </c>
      <c r="C69" s="35"/>
      <c r="D69" s="33">
        <f>SUM(D65:D68)</f>
        <v>3.75</v>
      </c>
      <c r="E69" s="36">
        <f>SUM(E65:E68)</f>
        <v>23201</v>
      </c>
      <c r="F69" s="36">
        <f>SUM(F65:F66)</f>
        <v>1292.2</v>
      </c>
      <c r="G69" s="32"/>
      <c r="H69" s="32"/>
      <c r="I69" s="36">
        <f>SUM(I65:I68)</f>
        <v>4062.825</v>
      </c>
      <c r="J69" s="32"/>
      <c r="K69" s="32"/>
      <c r="L69" s="36">
        <f>SUM(L65:L68)</f>
        <v>27401.274999999998</v>
      </c>
      <c r="M69" s="36">
        <v>328815.36</v>
      </c>
      <c r="N69" s="150">
        <f>N66+O67+O68</f>
        <v>4135.949999999999</v>
      </c>
      <c r="O69" s="150"/>
      <c r="P69" s="150"/>
    </row>
    <row r="70" spans="1:18" ht="29.25" customHeight="1">
      <c r="A70" s="182" t="s">
        <v>60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  <c r="N70" s="163"/>
      <c r="O70" s="163"/>
      <c r="P70" s="163"/>
      <c r="Q70" s="79"/>
      <c r="R70" s="79"/>
    </row>
    <row r="71" spans="1:17" ht="19.5" customHeight="1">
      <c r="A71" s="27">
        <v>1</v>
      </c>
      <c r="B71" s="51" t="s">
        <v>15</v>
      </c>
      <c r="C71" s="27">
        <v>14</v>
      </c>
      <c r="D71" s="28">
        <v>1</v>
      </c>
      <c r="E71" s="31">
        <v>6461</v>
      </c>
      <c r="F71" s="28"/>
      <c r="G71" s="28"/>
      <c r="H71" s="28"/>
      <c r="I71" s="28">
        <f>E71*0.1</f>
        <v>646.1</v>
      </c>
      <c r="J71" s="27"/>
      <c r="K71" s="28"/>
      <c r="L71" s="31">
        <f>SUM(E71:K71)</f>
        <v>7107.1</v>
      </c>
      <c r="M71" s="31">
        <f>L71*12</f>
        <v>85285.20000000001</v>
      </c>
      <c r="N71" s="181"/>
      <c r="O71" s="181"/>
      <c r="P71" s="181"/>
      <c r="Q71" t="s">
        <v>95</v>
      </c>
    </row>
    <row r="72" spans="1:17" ht="31.5" customHeight="1">
      <c r="A72" s="27">
        <v>2</v>
      </c>
      <c r="B72" s="73" t="s">
        <v>157</v>
      </c>
      <c r="C72" s="115">
        <v>11</v>
      </c>
      <c r="D72" s="28">
        <v>1</v>
      </c>
      <c r="E72" s="93">
        <v>5260</v>
      </c>
      <c r="F72" s="28"/>
      <c r="G72" s="28"/>
      <c r="H72" s="28"/>
      <c r="I72" s="31">
        <f>E72*0.1</f>
        <v>526</v>
      </c>
      <c r="J72" s="27"/>
      <c r="K72" s="28"/>
      <c r="L72" s="31">
        <f>SUM(E72:K72)</f>
        <v>5786</v>
      </c>
      <c r="M72" s="31">
        <f>L72*12</f>
        <v>69432</v>
      </c>
      <c r="N72" s="181">
        <f>(6000-L72)*6</f>
        <v>1284</v>
      </c>
      <c r="O72" s="181"/>
      <c r="P72" s="181"/>
      <c r="Q72" t="s">
        <v>96</v>
      </c>
    </row>
    <row r="73" spans="1:17" ht="33" customHeight="1">
      <c r="A73" s="27">
        <v>3</v>
      </c>
      <c r="B73" s="73" t="s">
        <v>158</v>
      </c>
      <c r="C73" s="115">
        <v>10</v>
      </c>
      <c r="D73" s="28">
        <v>1</v>
      </c>
      <c r="E73" s="31">
        <v>4859</v>
      </c>
      <c r="F73" s="28"/>
      <c r="G73" s="28"/>
      <c r="H73" s="28"/>
      <c r="I73" s="31">
        <f>E73*0.3</f>
        <v>1457.7</v>
      </c>
      <c r="J73" s="27"/>
      <c r="K73" s="28"/>
      <c r="L73" s="31">
        <f>SUM(E73:K73)</f>
        <v>6316.7</v>
      </c>
      <c r="M73" s="31">
        <f>L73*12</f>
        <v>75800.4</v>
      </c>
      <c r="N73" s="181"/>
      <c r="O73" s="181"/>
      <c r="P73" s="181"/>
      <c r="Q73" t="s">
        <v>94</v>
      </c>
    </row>
    <row r="74" spans="1:17" ht="20.25" customHeight="1">
      <c r="A74" s="27"/>
      <c r="B74" s="73" t="s">
        <v>159</v>
      </c>
      <c r="C74" s="27">
        <v>10</v>
      </c>
      <c r="D74" s="28">
        <v>0.5</v>
      </c>
      <c r="E74" s="31">
        <v>4859</v>
      </c>
      <c r="F74" s="28"/>
      <c r="G74" s="28"/>
      <c r="H74" s="28"/>
      <c r="I74" s="31"/>
      <c r="J74" s="27"/>
      <c r="K74" s="28"/>
      <c r="L74" s="31">
        <f>E74/2</f>
        <v>2429.5</v>
      </c>
      <c r="M74" s="31">
        <f>L74*12</f>
        <v>29154</v>
      </c>
      <c r="N74" s="99"/>
      <c r="O74" s="100">
        <f>(3000-L74)*6</f>
        <v>3423</v>
      </c>
      <c r="P74" s="101"/>
      <c r="Q74" t="s">
        <v>166</v>
      </c>
    </row>
    <row r="75" spans="1:16" ht="15">
      <c r="A75" s="35"/>
      <c r="B75" s="102" t="s">
        <v>14</v>
      </c>
      <c r="C75" s="35"/>
      <c r="D75" s="33">
        <f>SUM(D71:D74)</f>
        <v>3.5</v>
      </c>
      <c r="E75" s="36">
        <f>E71+E72+E73+E74</f>
        <v>21439</v>
      </c>
      <c r="F75" s="32"/>
      <c r="G75" s="32"/>
      <c r="H75" s="32"/>
      <c r="I75" s="32">
        <f>SUM(I71:I73)</f>
        <v>2629.8</v>
      </c>
      <c r="J75" s="32"/>
      <c r="K75" s="32"/>
      <c r="L75" s="36">
        <f>L71+L72+L73+L74</f>
        <v>21639.3</v>
      </c>
      <c r="M75" s="36">
        <f>M71+M72+M73+M74</f>
        <v>259671.6</v>
      </c>
      <c r="N75" s="187">
        <f>N71+N72+N73+O74</f>
        <v>4707</v>
      </c>
      <c r="O75" s="188"/>
      <c r="P75" s="189"/>
    </row>
    <row r="76" spans="1:18" ht="31.5" customHeight="1">
      <c r="A76" s="182" t="s">
        <v>137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4"/>
      <c r="N76" s="163"/>
      <c r="O76" s="163"/>
      <c r="P76" s="163"/>
      <c r="Q76" s="79"/>
      <c r="R76" s="79"/>
    </row>
    <row r="77" spans="1:17" ht="16.5" customHeight="1">
      <c r="A77" s="27">
        <v>1</v>
      </c>
      <c r="B77" s="51" t="s">
        <v>172</v>
      </c>
      <c r="C77" s="27">
        <v>5</v>
      </c>
      <c r="D77" s="41">
        <v>1</v>
      </c>
      <c r="E77" s="31">
        <v>3631</v>
      </c>
      <c r="F77" s="43"/>
      <c r="G77" s="43"/>
      <c r="H77" s="43"/>
      <c r="I77" s="43"/>
      <c r="J77" s="43"/>
      <c r="K77" s="37"/>
      <c r="L77" s="31">
        <f>E77</f>
        <v>3631</v>
      </c>
      <c r="M77" s="31">
        <f>L77*12</f>
        <v>43572</v>
      </c>
      <c r="N77" s="46"/>
      <c r="O77" s="47">
        <f>(6000-L77)*6</f>
        <v>14214</v>
      </c>
      <c r="P77" s="48"/>
      <c r="Q77" t="s">
        <v>167</v>
      </c>
    </row>
    <row r="78" spans="1:16" ht="16.5" customHeight="1">
      <c r="A78" s="27"/>
      <c r="B78" s="51" t="s">
        <v>170</v>
      </c>
      <c r="C78" s="27">
        <v>5</v>
      </c>
      <c r="D78" s="41">
        <v>1</v>
      </c>
      <c r="E78" s="31">
        <v>3631</v>
      </c>
      <c r="F78" s="43"/>
      <c r="G78" s="43"/>
      <c r="H78" s="43"/>
      <c r="I78" s="43"/>
      <c r="J78" s="43"/>
      <c r="K78" s="37"/>
      <c r="L78" s="31">
        <f>E78</f>
        <v>3631</v>
      </c>
      <c r="M78" s="31">
        <f aca="true" t="shared" si="4" ref="M78:M84">L78*12</f>
        <v>43572</v>
      </c>
      <c r="N78" s="46"/>
      <c r="O78" s="47"/>
      <c r="P78" s="48"/>
    </row>
    <row r="79" spans="1:17" ht="18" customHeight="1">
      <c r="A79" s="27">
        <v>2</v>
      </c>
      <c r="B79" s="51" t="s">
        <v>18</v>
      </c>
      <c r="C79" s="27">
        <v>3</v>
      </c>
      <c r="D79" s="41">
        <v>1</v>
      </c>
      <c r="E79" s="31">
        <v>3151</v>
      </c>
      <c r="F79" s="28"/>
      <c r="G79" s="28"/>
      <c r="H79" s="5">
        <f>(E79*25)/100</f>
        <v>787.75</v>
      </c>
      <c r="I79" s="5"/>
      <c r="J79" s="5">
        <f>H79</f>
        <v>787.75</v>
      </c>
      <c r="K79" s="27"/>
      <c r="L79" s="31">
        <f>SUM(E79:J79)</f>
        <v>4726.5</v>
      </c>
      <c r="M79" s="31">
        <f t="shared" si="4"/>
        <v>56718</v>
      </c>
      <c r="N79" s="181">
        <f>(6000-L79)*6</f>
        <v>7641</v>
      </c>
      <c r="O79" s="181"/>
      <c r="P79" s="181"/>
      <c r="Q79" t="s">
        <v>100</v>
      </c>
    </row>
    <row r="80" spans="1:16" ht="18.75" customHeight="1">
      <c r="A80" s="27">
        <v>3</v>
      </c>
      <c r="B80" s="51" t="s">
        <v>134</v>
      </c>
      <c r="C80" s="27">
        <v>3</v>
      </c>
      <c r="D80" s="41">
        <v>1</v>
      </c>
      <c r="E80" s="31">
        <v>3151</v>
      </c>
      <c r="F80" s="28"/>
      <c r="G80" s="28"/>
      <c r="H80" s="5">
        <f>(E80*25)/100</f>
        <v>787.75</v>
      </c>
      <c r="I80" s="5"/>
      <c r="J80" s="5">
        <f>H80</f>
        <v>787.75</v>
      </c>
      <c r="K80" s="27"/>
      <c r="L80" s="31">
        <f>SUM(E80:J80)</f>
        <v>4726.5</v>
      </c>
      <c r="M80" s="31">
        <f t="shared" si="4"/>
        <v>56718</v>
      </c>
      <c r="N80" s="181">
        <f>(6000-L80)*6</f>
        <v>7641</v>
      </c>
      <c r="O80" s="181"/>
      <c r="P80" s="181"/>
    </row>
    <row r="81" spans="1:17" ht="17.25" customHeight="1">
      <c r="A81" s="27">
        <v>4</v>
      </c>
      <c r="B81" s="51" t="s">
        <v>19</v>
      </c>
      <c r="C81" s="27">
        <v>1</v>
      </c>
      <c r="D81" s="41">
        <v>3</v>
      </c>
      <c r="E81" s="31">
        <v>2670</v>
      </c>
      <c r="F81" s="28"/>
      <c r="G81" s="28"/>
      <c r="H81" s="28"/>
      <c r="I81" s="28"/>
      <c r="J81" s="28"/>
      <c r="K81" s="27"/>
      <c r="L81" s="31">
        <f>(E81*D81)</f>
        <v>8010</v>
      </c>
      <c r="M81" s="31">
        <f t="shared" si="4"/>
        <v>96120</v>
      </c>
      <c r="N81" s="181">
        <f>((6000-E81)*18)</f>
        <v>59940</v>
      </c>
      <c r="O81" s="181"/>
      <c r="P81" s="181"/>
      <c r="Q81" s="88"/>
    </row>
    <row r="82" spans="1:19" ht="16.5" customHeight="1">
      <c r="A82" s="27">
        <v>5</v>
      </c>
      <c r="B82" s="51" t="s">
        <v>20</v>
      </c>
      <c r="C82" s="27">
        <v>1</v>
      </c>
      <c r="D82" s="41">
        <v>2</v>
      </c>
      <c r="E82" s="31">
        <v>2670</v>
      </c>
      <c r="F82" s="28"/>
      <c r="G82" s="28"/>
      <c r="H82" s="28"/>
      <c r="I82" s="28"/>
      <c r="J82" s="28"/>
      <c r="K82" s="28">
        <f>E82*0.1</f>
        <v>267</v>
      </c>
      <c r="L82" s="31">
        <f>(E82+K82)*D82</f>
        <v>5874</v>
      </c>
      <c r="M82" s="31">
        <v>67284</v>
      </c>
      <c r="N82" s="181">
        <f>((6000-E82)*6)+1000</f>
        <v>20980</v>
      </c>
      <c r="O82" s="181"/>
      <c r="P82" s="181"/>
      <c r="S82" s="22"/>
    </row>
    <row r="83" spans="1:19" ht="16.5" customHeight="1">
      <c r="A83" s="27"/>
      <c r="B83" s="51" t="s">
        <v>30</v>
      </c>
      <c r="C83" s="27">
        <v>2</v>
      </c>
      <c r="D83" s="41">
        <v>0.5</v>
      </c>
      <c r="E83" s="31">
        <v>2910</v>
      </c>
      <c r="F83" s="28"/>
      <c r="G83" s="28"/>
      <c r="H83" s="28"/>
      <c r="I83" s="28"/>
      <c r="J83" s="28"/>
      <c r="K83" s="28"/>
      <c r="L83" s="31">
        <f>E83/2</f>
        <v>1455</v>
      </c>
      <c r="M83" s="31">
        <f t="shared" si="4"/>
        <v>17460</v>
      </c>
      <c r="N83" s="98"/>
      <c r="O83" s="98">
        <f>(3000-L83)*6</f>
        <v>9270</v>
      </c>
      <c r="P83" s="98"/>
      <c r="Q83" t="s">
        <v>168</v>
      </c>
      <c r="S83" s="22"/>
    </row>
    <row r="84" spans="1:16" ht="15">
      <c r="A84" s="27">
        <v>6</v>
      </c>
      <c r="B84" s="51" t="s">
        <v>21</v>
      </c>
      <c r="C84" s="27">
        <v>1</v>
      </c>
      <c r="D84" s="41">
        <v>1</v>
      </c>
      <c r="E84" s="31">
        <v>2670</v>
      </c>
      <c r="F84" s="28"/>
      <c r="G84" s="28"/>
      <c r="H84" s="28"/>
      <c r="I84" s="28"/>
      <c r="J84" s="28"/>
      <c r="K84" s="27"/>
      <c r="L84" s="50">
        <f>E84*D84</f>
        <v>2670</v>
      </c>
      <c r="M84" s="31">
        <f t="shared" si="4"/>
        <v>32040</v>
      </c>
      <c r="N84" s="181">
        <f>(3000-L84)*6</f>
        <v>1980</v>
      </c>
      <c r="O84" s="181"/>
      <c r="P84" s="181"/>
    </row>
    <row r="85" spans="1:18" ht="15">
      <c r="A85" s="35"/>
      <c r="B85" s="52" t="s">
        <v>14</v>
      </c>
      <c r="C85" s="32" t="s">
        <v>33</v>
      </c>
      <c r="D85" s="33">
        <f>SUM(D77:D84)</f>
        <v>10.5</v>
      </c>
      <c r="E85" s="36">
        <f>SUM(E77:E84)</f>
        <v>24484</v>
      </c>
      <c r="F85" s="32"/>
      <c r="G85" s="32"/>
      <c r="H85" s="32">
        <f>SUM(H77:H84)</f>
        <v>1575.5</v>
      </c>
      <c r="I85" s="32"/>
      <c r="J85" s="32">
        <f>SUM(J77:J84)</f>
        <v>1575.5</v>
      </c>
      <c r="K85" s="32">
        <f>K82</f>
        <v>267</v>
      </c>
      <c r="L85" s="36">
        <f>SUM(L77:L84)</f>
        <v>34724</v>
      </c>
      <c r="M85" s="36">
        <f>SUM(M77:M84)</f>
        <v>413484</v>
      </c>
      <c r="N85" s="181">
        <f>SUM(N77:N84)</f>
        <v>98182</v>
      </c>
      <c r="O85" s="181"/>
      <c r="P85" s="181"/>
      <c r="Q85" s="79"/>
      <c r="R85" s="79">
        <f>SUM(R80:R84)</f>
        <v>0</v>
      </c>
    </row>
    <row r="86" spans="1:18" ht="15">
      <c r="A86" s="35"/>
      <c r="B86" s="56" t="s">
        <v>22</v>
      </c>
      <c r="C86" s="57"/>
      <c r="D86" s="58">
        <f aca="true" t="shared" si="5" ref="D86:N86">D85+D75+D69+D63+D57+D49+D39+D33+D26+D45</f>
        <v>50.75</v>
      </c>
      <c r="E86" s="58">
        <f t="shared" si="5"/>
        <v>249613</v>
      </c>
      <c r="F86" s="58">
        <f t="shared" si="5"/>
        <v>2707.6000000000004</v>
      </c>
      <c r="G86" s="58">
        <f t="shared" si="5"/>
        <v>3724.5</v>
      </c>
      <c r="H86" s="58">
        <f t="shared" si="5"/>
        <v>1575.5</v>
      </c>
      <c r="I86" s="58">
        <f t="shared" si="5"/>
        <v>28246.524999999998</v>
      </c>
      <c r="J86" s="58">
        <f t="shared" si="5"/>
        <v>1575.5</v>
      </c>
      <c r="K86" s="58">
        <f t="shared" si="5"/>
        <v>267</v>
      </c>
      <c r="L86" s="58">
        <f t="shared" si="5"/>
        <v>308147.175</v>
      </c>
      <c r="M86" s="58">
        <f t="shared" si="5"/>
        <v>3694562.1599999997</v>
      </c>
      <c r="N86" s="58">
        <f t="shared" si="5"/>
        <v>154946.95</v>
      </c>
      <c r="O86" s="58"/>
      <c r="P86" s="58">
        <f>P85+P75+P69+P63+P57+P49+P39+P33+P26+P45</f>
        <v>0</v>
      </c>
      <c r="Q86" s="58"/>
      <c r="R86" s="58">
        <f>R85+R75+R69+R63+R57+R49+R39+R33+R26</f>
        <v>0</v>
      </c>
    </row>
    <row r="87" spans="1:13" ht="14.25" customHeight="1">
      <c r="A87" s="1"/>
      <c r="B87" s="1"/>
      <c r="C87" s="1"/>
      <c r="D87" s="1"/>
      <c r="E87" s="71"/>
      <c r="F87" s="1"/>
      <c r="G87" s="1"/>
      <c r="H87" s="1"/>
      <c r="I87" s="1"/>
      <c r="J87" s="1"/>
      <c r="K87" s="1"/>
      <c r="L87" s="26"/>
      <c r="M87" s="86"/>
    </row>
    <row r="88" spans="1:13" ht="0.75" customHeight="1">
      <c r="A88" s="1"/>
      <c r="B88" s="1"/>
      <c r="C88" s="1"/>
      <c r="D88" s="1"/>
      <c r="E88" s="71"/>
      <c r="F88" s="1"/>
      <c r="G88" s="1"/>
      <c r="H88" s="1"/>
      <c r="I88" s="1"/>
      <c r="J88" s="1"/>
      <c r="K88" s="1"/>
      <c r="L88" s="26"/>
      <c r="M88" s="86"/>
    </row>
    <row r="89" spans="1:13" ht="15.75" customHeight="1">
      <c r="A89" s="1"/>
      <c r="B89" s="1"/>
      <c r="C89" s="1"/>
      <c r="D89" s="1"/>
      <c r="E89" s="71"/>
      <c r="F89" s="1"/>
      <c r="G89" s="1"/>
      <c r="H89" s="1"/>
      <c r="I89" s="1"/>
      <c r="J89" s="1"/>
      <c r="K89" s="1"/>
      <c r="L89" s="26"/>
      <c r="M89" s="86"/>
    </row>
    <row r="90" spans="1:13" ht="24" customHeight="1">
      <c r="A90" s="1"/>
      <c r="B90" s="1"/>
      <c r="C90" s="146" t="s">
        <v>171</v>
      </c>
      <c r="D90" s="146"/>
      <c r="E90" s="146"/>
      <c r="F90" s="146"/>
      <c r="G90" s="146"/>
      <c r="H90" s="146"/>
      <c r="I90" s="146"/>
      <c r="J90" s="146"/>
      <c r="K90" s="146"/>
      <c r="L90" s="146"/>
      <c r="M90" s="86"/>
    </row>
    <row r="91" spans="1:15" ht="19.5" customHeight="1">
      <c r="A91" s="1"/>
      <c r="B91" s="1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85"/>
      <c r="N91" s="62"/>
      <c r="O91" s="62"/>
    </row>
    <row r="92" spans="1:15" ht="21.75" customHeight="1">
      <c r="A92" s="1"/>
      <c r="B92" s="1"/>
      <c r="C92" s="146" t="s">
        <v>63</v>
      </c>
      <c r="D92" s="146"/>
      <c r="E92" s="146"/>
      <c r="F92" s="146"/>
      <c r="G92" s="146"/>
      <c r="H92" s="146"/>
      <c r="I92" s="146"/>
      <c r="J92" s="146"/>
      <c r="K92" s="146"/>
      <c r="L92" s="146"/>
      <c r="M92" s="63"/>
      <c r="N92" s="63"/>
      <c r="O92" s="63"/>
    </row>
    <row r="93" spans="1:13" ht="21" customHeight="1">
      <c r="A93" s="1"/>
      <c r="B93" s="1"/>
      <c r="M93" s="17"/>
    </row>
    <row r="94" spans="5:15" ht="18">
      <c r="E94" s="2"/>
      <c r="F94" s="2"/>
      <c r="G94" s="2"/>
      <c r="H94" s="2"/>
      <c r="I94" s="2"/>
      <c r="J94" s="2"/>
      <c r="M94" s="17"/>
      <c r="O94" s="22"/>
    </row>
    <row r="96" ht="18">
      <c r="L96" s="2"/>
    </row>
    <row r="101" ht="12.75">
      <c r="I101" t="s">
        <v>169</v>
      </c>
    </row>
  </sheetData>
  <sheetProtection/>
  <mergeCells count="68">
    <mergeCell ref="Q27:W27"/>
    <mergeCell ref="Q55:R55"/>
    <mergeCell ref="A1:E8"/>
    <mergeCell ref="H1:M13"/>
    <mergeCell ref="A14:M14"/>
    <mergeCell ref="A15:M15"/>
    <mergeCell ref="A16:M16"/>
    <mergeCell ref="A17:A19"/>
    <mergeCell ref="B17:B19"/>
    <mergeCell ref="D17:D19"/>
    <mergeCell ref="E17:E19"/>
    <mergeCell ref="F17:H18"/>
    <mergeCell ref="A27:K27"/>
    <mergeCell ref="N27:P27"/>
    <mergeCell ref="I17:K18"/>
    <mergeCell ref="L17:L19"/>
    <mergeCell ref="M17:M19"/>
    <mergeCell ref="N19:O19"/>
    <mergeCell ref="N20:P20"/>
    <mergeCell ref="N21:P21"/>
    <mergeCell ref="N36:P36"/>
    <mergeCell ref="N28:P28"/>
    <mergeCell ref="N29:O29"/>
    <mergeCell ref="N30:O30"/>
    <mergeCell ref="N31:O31"/>
    <mergeCell ref="N22:P22"/>
    <mergeCell ref="N23:P23"/>
    <mergeCell ref="N24:P24"/>
    <mergeCell ref="N25:O25"/>
    <mergeCell ref="N26:P26"/>
    <mergeCell ref="N37:P37"/>
    <mergeCell ref="N38:O38"/>
    <mergeCell ref="N39:P39"/>
    <mergeCell ref="A40:M40"/>
    <mergeCell ref="N40:P40"/>
    <mergeCell ref="N32:O32"/>
    <mergeCell ref="N33:P33"/>
    <mergeCell ref="A34:M34"/>
    <mergeCell ref="N34:P34"/>
    <mergeCell ref="N35:P35"/>
    <mergeCell ref="B58:M58"/>
    <mergeCell ref="N42:P42"/>
    <mergeCell ref="N43:P43"/>
    <mergeCell ref="N45:O45"/>
    <mergeCell ref="B46:M46"/>
    <mergeCell ref="B50:M50"/>
    <mergeCell ref="A64:M64"/>
    <mergeCell ref="N64:P64"/>
    <mergeCell ref="N65:P65"/>
    <mergeCell ref="N66:P66"/>
    <mergeCell ref="N69:P69"/>
    <mergeCell ref="A70:M70"/>
    <mergeCell ref="N70:P70"/>
    <mergeCell ref="N71:P71"/>
    <mergeCell ref="N72:P72"/>
    <mergeCell ref="N73:P73"/>
    <mergeCell ref="N75:P75"/>
    <mergeCell ref="A76:M76"/>
    <mergeCell ref="N76:P76"/>
    <mergeCell ref="N84:P84"/>
    <mergeCell ref="N85:P85"/>
    <mergeCell ref="C91:L91"/>
    <mergeCell ref="C92:L92"/>
    <mergeCell ref="N79:P79"/>
    <mergeCell ref="N80:P80"/>
    <mergeCell ref="N81:P81"/>
    <mergeCell ref="N82:P82"/>
    <mergeCell ref="C90:L9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D102"/>
  <sheetViews>
    <sheetView tabSelected="1" zoomScale="90" zoomScaleNormal="90" zoomScalePageLayoutView="0" workbookViewId="0" topLeftCell="A13">
      <selection activeCell="Q21" sqref="Q21"/>
    </sheetView>
  </sheetViews>
  <sheetFormatPr defaultColWidth="9.00390625" defaultRowHeight="12.75"/>
  <cols>
    <col min="1" max="1" width="4.50390625" style="0" customWidth="1"/>
    <col min="2" max="2" width="25.50390625" style="0" customWidth="1"/>
    <col min="3" max="3" width="7.50390625" style="0" customWidth="1"/>
    <col min="4" max="4" width="6.50390625" style="0" customWidth="1"/>
    <col min="5" max="5" width="12.50390625" style="0" customWidth="1"/>
    <col min="6" max="6" width="8.50390625" style="0" customWidth="1"/>
    <col min="7" max="7" width="11.125" style="0" customWidth="1"/>
    <col min="8" max="8" width="10.50390625" style="0" customWidth="1"/>
    <col min="9" max="9" width="11.875" style="0" customWidth="1"/>
    <col min="10" max="10" width="10.125" style="0" customWidth="1"/>
    <col min="11" max="11" width="9.00390625" style="0" customWidth="1"/>
    <col min="12" max="12" width="13.875" style="0" customWidth="1"/>
    <col min="13" max="13" width="18.375" style="0" customWidth="1"/>
    <col min="14" max="14" width="0.37109375" style="0" hidden="1" customWidth="1"/>
    <col min="15" max="15" width="15.50390625" style="0" customWidth="1"/>
    <col min="16" max="16" width="4.50390625" style="0" customWidth="1"/>
    <col min="17" max="17" width="13.375" style="0" customWidth="1"/>
    <col min="19" max="19" width="18.125" style="0" customWidth="1"/>
  </cols>
  <sheetData>
    <row r="1" spans="1:13" ht="18" customHeight="1">
      <c r="A1" s="190" t="s">
        <v>201</v>
      </c>
      <c r="B1" s="190"/>
      <c r="C1" s="190"/>
      <c r="D1" s="190"/>
      <c r="E1" s="190"/>
      <c r="F1" s="10"/>
      <c r="G1" s="10"/>
      <c r="H1" s="191" t="s">
        <v>202</v>
      </c>
      <c r="I1" s="191"/>
      <c r="J1" s="191"/>
      <c r="K1" s="191"/>
      <c r="L1" s="191"/>
      <c r="M1" s="191"/>
    </row>
    <row r="2" spans="1:13" ht="18" customHeight="1">
      <c r="A2" s="190"/>
      <c r="B2" s="190"/>
      <c r="C2" s="190"/>
      <c r="D2" s="190"/>
      <c r="E2" s="190"/>
      <c r="F2" s="10"/>
      <c r="G2" s="10"/>
      <c r="H2" s="191"/>
      <c r="I2" s="191"/>
      <c r="J2" s="191"/>
      <c r="K2" s="191"/>
      <c r="L2" s="191"/>
      <c r="M2" s="191"/>
    </row>
    <row r="3" spans="1:19" ht="18" customHeight="1">
      <c r="A3" s="190"/>
      <c r="B3" s="190"/>
      <c r="C3" s="190"/>
      <c r="D3" s="190"/>
      <c r="E3" s="190"/>
      <c r="F3" s="10"/>
      <c r="G3" s="10"/>
      <c r="H3" s="191"/>
      <c r="I3" s="191"/>
      <c r="J3" s="191"/>
      <c r="K3" s="191"/>
      <c r="L3" s="191"/>
      <c r="M3" s="191"/>
      <c r="S3" s="20"/>
    </row>
    <row r="4" spans="1:19" ht="18.75" customHeight="1">
      <c r="A4" s="190"/>
      <c r="B4" s="190"/>
      <c r="C4" s="190"/>
      <c r="D4" s="190"/>
      <c r="E4" s="190"/>
      <c r="F4" s="3"/>
      <c r="G4" s="3"/>
      <c r="H4" s="191"/>
      <c r="I4" s="191"/>
      <c r="J4" s="191"/>
      <c r="K4" s="191"/>
      <c r="L4" s="191"/>
      <c r="M4" s="191"/>
      <c r="S4" s="20"/>
    </row>
    <row r="5" spans="1:19" ht="18.75" customHeight="1">
      <c r="A5" s="190"/>
      <c r="B5" s="190"/>
      <c r="C5" s="190"/>
      <c r="D5" s="190"/>
      <c r="E5" s="190"/>
      <c r="F5" s="3"/>
      <c r="G5" s="3"/>
      <c r="H5" s="191"/>
      <c r="I5" s="191"/>
      <c r="J5" s="191"/>
      <c r="K5" s="191"/>
      <c r="L5" s="191"/>
      <c r="M5" s="191"/>
      <c r="S5" s="60"/>
    </row>
    <row r="6" spans="1:19" ht="18.75" customHeight="1">
      <c r="A6" s="190"/>
      <c r="B6" s="190"/>
      <c r="C6" s="190"/>
      <c r="D6" s="190"/>
      <c r="E6" s="190"/>
      <c r="F6" s="3"/>
      <c r="G6" s="3"/>
      <c r="H6" s="191"/>
      <c r="I6" s="191"/>
      <c r="J6" s="191"/>
      <c r="K6" s="191"/>
      <c r="L6" s="191"/>
      <c r="M6" s="191"/>
      <c r="S6" s="20"/>
    </row>
    <row r="7" spans="1:19" ht="18.75" customHeight="1">
      <c r="A7" s="190"/>
      <c r="B7" s="190"/>
      <c r="C7" s="190"/>
      <c r="D7" s="190"/>
      <c r="E7" s="190"/>
      <c r="F7" s="3"/>
      <c r="G7" s="3"/>
      <c r="H7" s="191"/>
      <c r="I7" s="191"/>
      <c r="J7" s="191"/>
      <c r="K7" s="191"/>
      <c r="L7" s="191"/>
      <c r="M7" s="191"/>
      <c r="S7" s="20"/>
    </row>
    <row r="8" spans="1:13" ht="18.75" customHeight="1">
      <c r="A8" s="190"/>
      <c r="B8" s="190"/>
      <c r="C8" s="190"/>
      <c r="D8" s="190"/>
      <c r="E8" s="190"/>
      <c r="F8" s="3"/>
      <c r="G8" s="3"/>
      <c r="H8" s="191"/>
      <c r="I8" s="191"/>
      <c r="J8" s="191"/>
      <c r="K8" s="191"/>
      <c r="L8" s="191"/>
      <c r="M8" s="191"/>
    </row>
    <row r="9" spans="1:13" ht="18.75" customHeight="1">
      <c r="A9" s="3"/>
      <c r="B9" s="3"/>
      <c r="C9" s="3"/>
      <c r="D9" s="3"/>
      <c r="E9" s="3"/>
      <c r="F9" s="3"/>
      <c r="G9" s="3"/>
      <c r="H9" s="191"/>
      <c r="I9" s="191"/>
      <c r="J9" s="191"/>
      <c r="K9" s="191"/>
      <c r="L9" s="191"/>
      <c r="M9" s="191"/>
    </row>
    <row r="10" spans="1:13" ht="18.75" customHeight="1">
      <c r="A10" s="3"/>
      <c r="B10" s="3"/>
      <c r="C10" s="3"/>
      <c r="D10" s="3"/>
      <c r="E10" s="3"/>
      <c r="F10" s="3"/>
      <c r="G10" s="3"/>
      <c r="H10" s="191"/>
      <c r="I10" s="191"/>
      <c r="J10" s="191"/>
      <c r="K10" s="191"/>
      <c r="L10" s="191"/>
      <c r="M10" s="191"/>
    </row>
    <row r="11" spans="1:13" ht="18.75" customHeight="1">
      <c r="A11" s="3"/>
      <c r="B11" s="3"/>
      <c r="C11" s="3"/>
      <c r="D11" s="3"/>
      <c r="E11" s="3"/>
      <c r="F11" s="3"/>
      <c r="G11" s="3"/>
      <c r="H11" s="191"/>
      <c r="I11" s="191"/>
      <c r="J11" s="191"/>
      <c r="K11" s="191"/>
      <c r="L11" s="191"/>
      <c r="M11" s="191"/>
    </row>
    <row r="12" spans="1:13" ht="18.75" customHeight="1">
      <c r="A12" s="3"/>
      <c r="B12" s="3"/>
      <c r="C12" s="3"/>
      <c r="D12" s="3"/>
      <c r="E12" s="3"/>
      <c r="F12" s="3"/>
      <c r="G12" s="3"/>
      <c r="H12" s="191"/>
      <c r="I12" s="191"/>
      <c r="J12" s="191"/>
      <c r="K12" s="191"/>
      <c r="L12" s="191"/>
      <c r="M12" s="191"/>
    </row>
    <row r="13" spans="1:13" ht="36" customHeight="1">
      <c r="A13" s="3"/>
      <c r="B13" s="3"/>
      <c r="C13" s="3"/>
      <c r="D13" s="3"/>
      <c r="E13" s="3"/>
      <c r="F13" s="3"/>
      <c r="G13" s="3"/>
      <c r="H13" s="191"/>
      <c r="I13" s="191"/>
      <c r="J13" s="191"/>
      <c r="K13" s="191"/>
      <c r="L13" s="191"/>
      <c r="M13" s="191"/>
    </row>
    <row r="14" spans="1:13" ht="34.5" customHeight="1">
      <c r="A14" s="157" t="s">
        <v>192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30" customHeight="1">
      <c r="A15" s="157" t="s">
        <v>40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30" customHeight="1">
      <c r="A16" s="215" t="s">
        <v>178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2.75" customHeight="1">
      <c r="A17" s="141" t="s">
        <v>42</v>
      </c>
      <c r="B17" s="141" t="s">
        <v>1</v>
      </c>
      <c r="C17" s="14"/>
      <c r="D17" s="141" t="s">
        <v>2</v>
      </c>
      <c r="E17" s="147" t="s">
        <v>3</v>
      </c>
      <c r="F17" s="144" t="s">
        <v>4</v>
      </c>
      <c r="G17" s="144"/>
      <c r="H17" s="144"/>
      <c r="I17" s="159" t="s">
        <v>23</v>
      </c>
      <c r="J17" s="159"/>
      <c r="K17" s="160"/>
      <c r="L17" s="141" t="s">
        <v>5</v>
      </c>
      <c r="M17" s="141" t="s">
        <v>196</v>
      </c>
    </row>
    <row r="18" spans="1:13" ht="6" customHeight="1">
      <c r="A18" s="142"/>
      <c r="B18" s="142"/>
      <c r="C18" s="15"/>
      <c r="D18" s="142"/>
      <c r="E18" s="148"/>
      <c r="F18" s="144"/>
      <c r="G18" s="144"/>
      <c r="H18" s="144"/>
      <c r="I18" s="161"/>
      <c r="J18" s="161"/>
      <c r="K18" s="162"/>
      <c r="L18" s="142"/>
      <c r="M18" s="142"/>
    </row>
    <row r="19" spans="1:20" ht="93" customHeight="1">
      <c r="A19" s="143"/>
      <c r="B19" s="143"/>
      <c r="C19" s="16" t="s">
        <v>58</v>
      </c>
      <c r="D19" s="143"/>
      <c r="E19" s="149"/>
      <c r="F19" s="11" t="s">
        <v>7</v>
      </c>
      <c r="G19" s="11" t="s">
        <v>8</v>
      </c>
      <c r="H19" s="11" t="s">
        <v>9</v>
      </c>
      <c r="I19" s="11" t="s">
        <v>10</v>
      </c>
      <c r="J19" s="12" t="s">
        <v>11</v>
      </c>
      <c r="K19" s="13" t="s">
        <v>12</v>
      </c>
      <c r="L19" s="143"/>
      <c r="M19" s="143"/>
      <c r="N19" s="164" t="s">
        <v>25</v>
      </c>
      <c r="O19" s="214"/>
      <c r="P19" s="165"/>
      <c r="S19" s="22"/>
      <c r="T19" s="81"/>
    </row>
    <row r="20" spans="1:16" ht="17.25" customHeight="1">
      <c r="A20" s="7">
        <v>1</v>
      </c>
      <c r="B20" s="7">
        <v>2</v>
      </c>
      <c r="C20" s="8"/>
      <c r="D20" s="8">
        <v>3</v>
      </c>
      <c r="E20" s="8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153"/>
      <c r="O20" s="153"/>
      <c r="P20" s="153"/>
    </row>
    <row r="21" spans="1:16" ht="23.25" customHeight="1">
      <c r="A21" s="27">
        <v>1</v>
      </c>
      <c r="B21" s="51" t="s">
        <v>13</v>
      </c>
      <c r="C21" s="27">
        <v>16</v>
      </c>
      <c r="D21" s="28">
        <v>1</v>
      </c>
      <c r="E21" s="113">
        <v>7449</v>
      </c>
      <c r="F21" s="5"/>
      <c r="G21" s="64">
        <f>E21/2</f>
        <v>3724.5</v>
      </c>
      <c r="H21" s="29"/>
      <c r="I21" s="5">
        <f>E21*0.1</f>
        <v>744.9000000000001</v>
      </c>
      <c r="J21" s="5"/>
      <c r="K21" s="5"/>
      <c r="L21" s="5">
        <f>SUM(E21:K21)</f>
        <v>11918.4</v>
      </c>
      <c r="M21" s="5">
        <f>L21*5</f>
        <v>59592</v>
      </c>
      <c r="N21" s="150"/>
      <c r="O21" s="150"/>
      <c r="P21" s="150"/>
    </row>
    <row r="22" spans="1:19" ht="77.25" customHeight="1">
      <c r="A22" s="27">
        <v>2</v>
      </c>
      <c r="B22" s="51" t="s">
        <v>179</v>
      </c>
      <c r="C22" s="27"/>
      <c r="D22" s="28">
        <v>1</v>
      </c>
      <c r="E22" s="113">
        <v>7077</v>
      </c>
      <c r="F22" s="31"/>
      <c r="G22" s="5"/>
      <c r="H22" s="29"/>
      <c r="I22" s="64">
        <v>707.7</v>
      </c>
      <c r="J22" s="5"/>
      <c r="K22" s="5"/>
      <c r="L22" s="5">
        <f>SUM(E22:K22)</f>
        <v>7784.7</v>
      </c>
      <c r="M22" s="5">
        <f>L22*5</f>
        <v>38923.5</v>
      </c>
      <c r="N22" s="150"/>
      <c r="O22" s="150"/>
      <c r="P22" s="150"/>
      <c r="S22" s="22"/>
    </row>
    <row r="23" spans="1:16" ht="60.75" customHeight="1">
      <c r="A23" s="27">
        <v>3</v>
      </c>
      <c r="B23" s="51" t="s">
        <v>35</v>
      </c>
      <c r="C23" s="27"/>
      <c r="D23" s="28">
        <v>1</v>
      </c>
      <c r="E23" s="113">
        <v>7077</v>
      </c>
      <c r="F23" s="5"/>
      <c r="G23" s="5"/>
      <c r="H23" s="29"/>
      <c r="I23" s="64"/>
      <c r="J23" s="5"/>
      <c r="K23" s="5"/>
      <c r="L23" s="5">
        <f>SUM(E23:K23)</f>
        <v>7077</v>
      </c>
      <c r="M23" s="5">
        <f>L23*5</f>
        <v>35385</v>
      </c>
      <c r="N23" s="150"/>
      <c r="O23" s="150"/>
      <c r="P23" s="150"/>
    </row>
    <row r="24" spans="1:16" ht="62.25" customHeight="1">
      <c r="A24" s="27">
        <v>4</v>
      </c>
      <c r="B24" s="51" t="s">
        <v>189</v>
      </c>
      <c r="C24" s="27"/>
      <c r="D24" s="28">
        <v>1</v>
      </c>
      <c r="E24" s="113">
        <v>7077</v>
      </c>
      <c r="F24" s="5"/>
      <c r="G24" s="5"/>
      <c r="H24" s="29"/>
      <c r="I24" s="64"/>
      <c r="J24" s="5"/>
      <c r="K24" s="5"/>
      <c r="L24" s="5">
        <f>SUM(E24:K24)</f>
        <v>7077</v>
      </c>
      <c r="M24" s="5">
        <f>L24*5</f>
        <v>35385</v>
      </c>
      <c r="N24" s="150"/>
      <c r="O24" s="150"/>
      <c r="P24" s="150"/>
    </row>
    <row r="25" spans="1:16" ht="21" customHeight="1">
      <c r="A25" s="27">
        <v>5</v>
      </c>
      <c r="B25" s="51" t="s">
        <v>57</v>
      </c>
      <c r="C25" s="27">
        <v>10</v>
      </c>
      <c r="D25" s="28">
        <v>1</v>
      </c>
      <c r="E25" s="5">
        <v>4859</v>
      </c>
      <c r="F25" s="5"/>
      <c r="G25" s="5"/>
      <c r="H25" s="29"/>
      <c r="I25" s="5"/>
      <c r="J25" s="5"/>
      <c r="K25" s="5"/>
      <c r="L25" s="5">
        <f>SUM(E25:K25)</f>
        <v>4859</v>
      </c>
      <c r="M25" s="5">
        <f>L25*5</f>
        <v>24295</v>
      </c>
      <c r="N25" s="151">
        <f>(6000-L25)*5</f>
        <v>5705</v>
      </c>
      <c r="O25" s="152"/>
      <c r="P25" s="30"/>
    </row>
    <row r="26" spans="1:16" ht="15">
      <c r="A26" s="28"/>
      <c r="B26" s="109" t="s">
        <v>14</v>
      </c>
      <c r="C26" s="32"/>
      <c r="D26" s="33">
        <f>SUM(D21:D25)</f>
        <v>5</v>
      </c>
      <c r="E26" s="65">
        <f>E21+E22++E23+E24+E25</f>
        <v>33539</v>
      </c>
      <c r="F26" s="9">
        <f>SUM(F21:F24)</f>
        <v>0</v>
      </c>
      <c r="G26" s="9">
        <f>SUM(G21:G24)</f>
        <v>3724.5</v>
      </c>
      <c r="H26" s="65"/>
      <c r="I26" s="65">
        <f>SUM(I21:I24)</f>
        <v>1452.6000000000001</v>
      </c>
      <c r="J26" s="65"/>
      <c r="K26" s="6"/>
      <c r="L26" s="6">
        <f>SUM(L21:L25)</f>
        <v>38716.1</v>
      </c>
      <c r="M26" s="6">
        <f>SUM(M21:M25)</f>
        <v>193580.5</v>
      </c>
      <c r="N26" s="209">
        <f>N25</f>
        <v>5705</v>
      </c>
      <c r="O26" s="150"/>
      <c r="P26" s="150"/>
    </row>
    <row r="27" spans="1:23" ht="15.75" customHeight="1">
      <c r="A27" s="154" t="s">
        <v>197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6"/>
      <c r="N27" s="150"/>
      <c r="O27" s="150"/>
      <c r="P27" s="150"/>
      <c r="Q27" s="210"/>
      <c r="R27" s="195"/>
      <c r="S27" s="195"/>
      <c r="T27" s="195"/>
      <c r="U27" s="195"/>
      <c r="V27" s="195"/>
      <c r="W27" s="195"/>
    </row>
    <row r="28" spans="1:16" ht="38.25" customHeight="1">
      <c r="A28" s="27">
        <v>1</v>
      </c>
      <c r="B28" s="37" t="s">
        <v>180</v>
      </c>
      <c r="C28" s="27">
        <v>14</v>
      </c>
      <c r="D28" s="28">
        <v>1</v>
      </c>
      <c r="E28" s="31">
        <v>6461</v>
      </c>
      <c r="F28" s="31"/>
      <c r="G28" s="28"/>
      <c r="H28" s="28"/>
      <c r="I28" s="5">
        <f>(E28*20)/100</f>
        <v>1292.2</v>
      </c>
      <c r="J28" s="28"/>
      <c r="K28" s="27"/>
      <c r="L28" s="31">
        <f>SUM(E28:K28)</f>
        <v>7753.2</v>
      </c>
      <c r="M28" s="31">
        <f aca="true" t="shared" si="0" ref="M28:M33">L28*5</f>
        <v>38766</v>
      </c>
      <c r="N28" s="150"/>
      <c r="O28" s="150"/>
      <c r="P28" s="150"/>
    </row>
    <row r="29" spans="1:17" ht="29.25" customHeight="1">
      <c r="A29" s="27">
        <v>2</v>
      </c>
      <c r="B29" s="72" t="s">
        <v>16</v>
      </c>
      <c r="C29" s="27">
        <v>12</v>
      </c>
      <c r="D29" s="28">
        <v>1</v>
      </c>
      <c r="E29" s="31">
        <v>5660</v>
      </c>
      <c r="F29" s="28"/>
      <c r="G29" s="28"/>
      <c r="H29" s="28"/>
      <c r="I29" s="5">
        <f>E29*20%</f>
        <v>1132</v>
      </c>
      <c r="J29" s="28"/>
      <c r="K29" s="27"/>
      <c r="L29" s="31">
        <f>SUM(E29:K29)</f>
        <v>6792</v>
      </c>
      <c r="M29" s="31">
        <f t="shared" si="0"/>
        <v>33960</v>
      </c>
      <c r="N29" s="166"/>
      <c r="O29" s="167"/>
      <c r="P29" s="30"/>
      <c r="Q29" s="133"/>
    </row>
    <row r="30" spans="1:16" ht="24" customHeight="1">
      <c r="A30" s="27">
        <v>3</v>
      </c>
      <c r="B30" s="72" t="s">
        <v>16</v>
      </c>
      <c r="C30" s="27">
        <v>12</v>
      </c>
      <c r="D30" s="28">
        <v>1</v>
      </c>
      <c r="E30" s="31">
        <v>5660</v>
      </c>
      <c r="F30" s="28"/>
      <c r="G30" s="28"/>
      <c r="H30" s="28"/>
      <c r="I30" s="5">
        <f>E30*20%</f>
        <v>1132</v>
      </c>
      <c r="J30" s="28"/>
      <c r="K30" s="27"/>
      <c r="L30" s="31">
        <f>SUM(E30:K30)</f>
        <v>6792</v>
      </c>
      <c r="M30" s="31">
        <f t="shared" si="0"/>
        <v>33960</v>
      </c>
      <c r="N30" s="166"/>
      <c r="O30" s="167"/>
      <c r="P30" s="30"/>
    </row>
    <row r="31" spans="1:16" ht="42" customHeight="1">
      <c r="A31" s="27">
        <v>4</v>
      </c>
      <c r="B31" s="73" t="s">
        <v>193</v>
      </c>
      <c r="C31" s="41">
        <v>10</v>
      </c>
      <c r="D31" s="41">
        <v>1</v>
      </c>
      <c r="E31" s="31">
        <v>4859</v>
      </c>
      <c r="F31" s="41">
        <f>E31*20%</f>
        <v>971.8000000000001</v>
      </c>
      <c r="G31" s="41"/>
      <c r="H31" s="41"/>
      <c r="I31" s="137">
        <f>E31*0.2</f>
        <v>971.8000000000001</v>
      </c>
      <c r="J31" s="41"/>
      <c r="K31" s="41"/>
      <c r="L31" s="137">
        <f>E31+F31+G31+H31+I31+J31+K31</f>
        <v>6802.6</v>
      </c>
      <c r="M31" s="137">
        <f t="shared" si="0"/>
        <v>34013</v>
      </c>
      <c r="N31" s="134"/>
      <c r="O31" s="135"/>
      <c r="P31" s="30"/>
    </row>
    <row r="32" spans="1:16" ht="26.25" customHeight="1">
      <c r="A32" s="27">
        <v>5</v>
      </c>
      <c r="B32" s="72" t="s">
        <v>34</v>
      </c>
      <c r="C32" s="27">
        <v>12</v>
      </c>
      <c r="D32" s="28">
        <v>1</v>
      </c>
      <c r="E32" s="31">
        <v>5660</v>
      </c>
      <c r="F32" s="28"/>
      <c r="G32" s="28"/>
      <c r="H32" s="28"/>
      <c r="I32" s="5">
        <f>E32*20%</f>
        <v>1132</v>
      </c>
      <c r="J32" s="28"/>
      <c r="K32" s="27"/>
      <c r="L32" s="31">
        <f>SUM(E32:K32)</f>
        <v>6792</v>
      </c>
      <c r="M32" s="31">
        <f t="shared" si="0"/>
        <v>33960</v>
      </c>
      <c r="N32" s="166"/>
      <c r="O32" s="167"/>
      <c r="P32" s="30"/>
    </row>
    <row r="33" spans="1:16" ht="18" customHeight="1">
      <c r="A33" s="27">
        <v>6</v>
      </c>
      <c r="B33" s="72" t="s">
        <v>34</v>
      </c>
      <c r="C33" s="27">
        <v>12</v>
      </c>
      <c r="D33" s="28">
        <v>1</v>
      </c>
      <c r="E33" s="31">
        <v>5660</v>
      </c>
      <c r="F33" s="28"/>
      <c r="G33" s="28"/>
      <c r="H33" s="28"/>
      <c r="I33" s="5">
        <f>E33*0.1</f>
        <v>566</v>
      </c>
      <c r="J33" s="28"/>
      <c r="K33" s="27"/>
      <c r="L33" s="31">
        <f>SUM(E33:K33)</f>
        <v>6226</v>
      </c>
      <c r="M33" s="31">
        <f t="shared" si="0"/>
        <v>31130</v>
      </c>
      <c r="N33" s="166"/>
      <c r="O33" s="167"/>
      <c r="P33" s="30"/>
    </row>
    <row r="34" spans="1:16" ht="15">
      <c r="A34" s="35"/>
      <c r="B34" s="110" t="s">
        <v>14</v>
      </c>
      <c r="C34" s="32"/>
      <c r="D34" s="33">
        <f>SUM(D28:D33)</f>
        <v>6</v>
      </c>
      <c r="E34" s="36">
        <f>SUM(E28:E33)</f>
        <v>33960</v>
      </c>
      <c r="F34" s="36">
        <f>SUM(F28:F33)</f>
        <v>971.8000000000001</v>
      </c>
      <c r="G34" s="32"/>
      <c r="H34" s="32"/>
      <c r="I34" s="66">
        <f>SUM(I28:I33)</f>
        <v>6226</v>
      </c>
      <c r="J34" s="32"/>
      <c r="K34" s="32"/>
      <c r="L34" s="36">
        <f>SUM(L28:L33)</f>
        <v>41157.8</v>
      </c>
      <c r="M34" s="36">
        <f>SUM(M28:M33)</f>
        <v>205789</v>
      </c>
      <c r="N34" s="150"/>
      <c r="O34" s="150"/>
      <c r="P34" s="150"/>
    </row>
    <row r="35" spans="1:19" ht="23.25" customHeight="1">
      <c r="A35" s="154" t="s">
        <v>36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6"/>
      <c r="N35" s="163"/>
      <c r="O35" s="163"/>
      <c r="P35" s="163"/>
      <c r="Q35" s="79"/>
      <c r="R35" s="79"/>
      <c r="S35" s="17"/>
    </row>
    <row r="36" spans="1:16" ht="16.5" customHeight="1">
      <c r="A36" s="28">
        <v>1</v>
      </c>
      <c r="B36" s="53" t="s">
        <v>17</v>
      </c>
      <c r="C36" s="28"/>
      <c r="D36" s="28">
        <v>1</v>
      </c>
      <c r="E36" s="120">
        <v>6704</v>
      </c>
      <c r="F36" s="28"/>
      <c r="G36" s="28"/>
      <c r="H36" s="28"/>
      <c r="I36" s="28"/>
      <c r="J36" s="28"/>
      <c r="K36" s="27"/>
      <c r="L36" s="31">
        <f>SUM(E36:K36)</f>
        <v>6704</v>
      </c>
      <c r="M36" s="31">
        <f>L36*5</f>
        <v>33520</v>
      </c>
      <c r="N36" s="150"/>
      <c r="O36" s="150"/>
      <c r="P36" s="150"/>
    </row>
    <row r="37" spans="1:16" ht="15.75" customHeight="1">
      <c r="A37" s="27">
        <v>2</v>
      </c>
      <c r="B37" s="51" t="s">
        <v>37</v>
      </c>
      <c r="C37" s="27">
        <v>10</v>
      </c>
      <c r="D37" s="28">
        <v>1</v>
      </c>
      <c r="E37" s="31">
        <v>4859</v>
      </c>
      <c r="F37" s="28"/>
      <c r="G37" s="28"/>
      <c r="H37" s="28"/>
      <c r="I37" s="28"/>
      <c r="J37" s="28"/>
      <c r="K37" s="27"/>
      <c r="L37" s="31">
        <f>SUM(E37:K37)</f>
        <v>4859</v>
      </c>
      <c r="M37" s="31">
        <f>L37*5</f>
        <v>24295</v>
      </c>
      <c r="N37" s="150">
        <f>(6000-L37)*5</f>
        <v>5705</v>
      </c>
      <c r="O37" s="150"/>
      <c r="P37" s="150"/>
    </row>
    <row r="38" spans="1:16" ht="19.5" customHeight="1">
      <c r="A38" s="27">
        <v>3</v>
      </c>
      <c r="B38" s="51" t="s">
        <v>37</v>
      </c>
      <c r="C38" s="27">
        <v>10</v>
      </c>
      <c r="D38" s="28">
        <v>1</v>
      </c>
      <c r="E38" s="31">
        <v>4859</v>
      </c>
      <c r="F38" s="28"/>
      <c r="G38" s="28"/>
      <c r="H38" s="28"/>
      <c r="I38" s="28"/>
      <c r="J38" s="28"/>
      <c r="K38" s="27"/>
      <c r="L38" s="31">
        <f>SUM(E38:K38)</f>
        <v>4859</v>
      </c>
      <c r="M38" s="31">
        <f>L38*5</f>
        <v>24295</v>
      </c>
      <c r="N38" s="150">
        <f>(6000-L38)*5</f>
        <v>5705</v>
      </c>
      <c r="O38" s="150"/>
      <c r="P38" s="150"/>
    </row>
    <row r="39" spans="1:16" ht="19.5" customHeight="1">
      <c r="A39" s="27">
        <v>4</v>
      </c>
      <c r="B39" s="51" t="s">
        <v>26</v>
      </c>
      <c r="C39" s="27">
        <v>10</v>
      </c>
      <c r="D39" s="28">
        <v>1</v>
      </c>
      <c r="E39" s="31">
        <v>4859</v>
      </c>
      <c r="F39" s="28"/>
      <c r="G39" s="28"/>
      <c r="H39" s="28"/>
      <c r="I39" s="28"/>
      <c r="J39" s="28"/>
      <c r="K39" s="27"/>
      <c r="L39" s="31">
        <f>SUM(E39:K39)</f>
        <v>4859</v>
      </c>
      <c r="M39" s="31">
        <f>L39*5</f>
        <v>24295</v>
      </c>
      <c r="N39" s="166">
        <v>5705</v>
      </c>
      <c r="O39" s="167"/>
      <c r="P39" s="30"/>
    </row>
    <row r="40" spans="1:16" ht="21" customHeight="1">
      <c r="A40" s="35"/>
      <c r="B40" s="109" t="s">
        <v>14</v>
      </c>
      <c r="C40" s="32"/>
      <c r="D40" s="33">
        <f>SUM(D36:D39)</f>
        <v>4</v>
      </c>
      <c r="E40" s="36">
        <f>SUM(E36:E39)</f>
        <v>21281</v>
      </c>
      <c r="F40" s="32"/>
      <c r="G40" s="32"/>
      <c r="H40" s="32"/>
      <c r="I40" s="32"/>
      <c r="J40" s="32"/>
      <c r="K40" s="32"/>
      <c r="L40" s="36">
        <f>SUM(L36:L39)</f>
        <v>21281</v>
      </c>
      <c r="M40" s="36">
        <f>SUM(M36:M39)</f>
        <v>106405</v>
      </c>
      <c r="N40" s="150">
        <f>N38+N37+N39</f>
        <v>17115</v>
      </c>
      <c r="O40" s="150"/>
      <c r="P40" s="150"/>
    </row>
    <row r="41" spans="1:18" ht="27" customHeight="1">
      <c r="A41" s="154" t="s">
        <v>198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  <c r="N41" s="163"/>
      <c r="O41" s="163"/>
      <c r="P41" s="163"/>
      <c r="Q41" s="79"/>
      <c r="R41" s="79"/>
    </row>
    <row r="42" spans="1:30" ht="29.25" customHeight="1">
      <c r="A42" s="103">
        <v>1</v>
      </c>
      <c r="B42" s="104" t="s">
        <v>180</v>
      </c>
      <c r="C42" s="77">
        <v>14</v>
      </c>
      <c r="D42" s="77">
        <v>1</v>
      </c>
      <c r="E42" s="97">
        <v>6461</v>
      </c>
      <c r="F42" s="77"/>
      <c r="G42" s="77"/>
      <c r="H42" s="77"/>
      <c r="I42" s="97">
        <f>E42*0.3</f>
        <v>1938.3</v>
      </c>
      <c r="J42" s="96"/>
      <c r="K42" s="119"/>
      <c r="L42" s="123">
        <f>SUM(E42:K42)</f>
        <v>8399.3</v>
      </c>
      <c r="M42" s="123">
        <f>L42*5</f>
        <v>41996.5</v>
      </c>
      <c r="N42" s="105"/>
      <c r="O42" s="106"/>
      <c r="P42" s="107"/>
      <c r="S42" s="182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4"/>
    </row>
    <row r="43" spans="1:16" ht="31.5" customHeight="1">
      <c r="A43" s="27">
        <v>2</v>
      </c>
      <c r="B43" s="119" t="s">
        <v>128</v>
      </c>
      <c r="C43" s="76">
        <v>14</v>
      </c>
      <c r="D43" s="76">
        <v>1</v>
      </c>
      <c r="E43" s="31">
        <v>6461</v>
      </c>
      <c r="F43" s="28"/>
      <c r="G43" s="28"/>
      <c r="H43" s="28"/>
      <c r="I43" s="31">
        <f>E43*0.2</f>
        <v>1292.2</v>
      </c>
      <c r="J43" s="28"/>
      <c r="K43" s="27"/>
      <c r="L43" s="31">
        <f>SUM(E43:K43)</f>
        <v>7753.2</v>
      </c>
      <c r="M43" s="132">
        <f>L43*5</f>
        <v>38766</v>
      </c>
      <c r="N43" s="150"/>
      <c r="O43" s="150"/>
      <c r="P43" s="150"/>
    </row>
    <row r="44" spans="1:16" ht="29.25" customHeight="1">
      <c r="A44" s="27">
        <v>3</v>
      </c>
      <c r="B44" s="119" t="s">
        <v>128</v>
      </c>
      <c r="C44" s="76">
        <v>14</v>
      </c>
      <c r="D44" s="76">
        <v>1</v>
      </c>
      <c r="E44" s="31">
        <v>6461</v>
      </c>
      <c r="F44" s="28"/>
      <c r="G44" s="28"/>
      <c r="H44" s="28"/>
      <c r="I44" s="31">
        <f>E44*0.1</f>
        <v>646.1</v>
      </c>
      <c r="J44" s="28"/>
      <c r="K44" s="27"/>
      <c r="L44" s="31">
        <f>SUM(E44:K44)</f>
        <v>7107.1</v>
      </c>
      <c r="M44" s="132">
        <f>L44*5</f>
        <v>35535.5</v>
      </c>
      <c r="N44" s="205"/>
      <c r="O44" s="205"/>
      <c r="P44" s="205"/>
    </row>
    <row r="45" spans="1:16" ht="29.25" customHeight="1">
      <c r="A45" s="27">
        <v>4</v>
      </c>
      <c r="B45" s="136" t="s">
        <v>195</v>
      </c>
      <c r="C45" s="76">
        <v>14</v>
      </c>
      <c r="D45" s="76">
        <v>1</v>
      </c>
      <c r="E45" s="31">
        <v>6461</v>
      </c>
      <c r="F45" s="28"/>
      <c r="G45" s="28"/>
      <c r="H45" s="28"/>
      <c r="I45" s="31">
        <f>E45*20%</f>
        <v>1292.2</v>
      </c>
      <c r="J45" s="28"/>
      <c r="K45" s="27"/>
      <c r="L45" s="31">
        <f>SUM(E45:K45)</f>
        <v>7753.2</v>
      </c>
      <c r="M45" s="132">
        <f>L45*5</f>
        <v>38766</v>
      </c>
      <c r="N45" s="128"/>
      <c r="O45" s="128"/>
      <c r="P45" s="128"/>
    </row>
    <row r="46" spans="1:16" ht="33.75" customHeight="1">
      <c r="A46" s="27">
        <v>5</v>
      </c>
      <c r="B46" s="136" t="s">
        <v>194</v>
      </c>
      <c r="C46" s="76">
        <v>14</v>
      </c>
      <c r="D46" s="76">
        <v>1</v>
      </c>
      <c r="E46" s="31">
        <v>6461</v>
      </c>
      <c r="F46" s="28"/>
      <c r="G46" s="28"/>
      <c r="H46" s="28"/>
      <c r="I46" s="31">
        <f>E46*0.2</f>
        <v>1292.2</v>
      </c>
      <c r="J46" s="28"/>
      <c r="K46" s="27"/>
      <c r="L46" s="31">
        <f>SUM(E46:K46)</f>
        <v>7753.2</v>
      </c>
      <c r="M46" s="132">
        <f>L46*5</f>
        <v>38766</v>
      </c>
      <c r="N46" s="30"/>
      <c r="O46" s="30"/>
      <c r="P46" s="30"/>
    </row>
    <row r="47" spans="1:16" ht="21" customHeight="1">
      <c r="A47" s="35"/>
      <c r="B47" s="102" t="s">
        <v>14</v>
      </c>
      <c r="C47" s="33"/>
      <c r="D47" s="33">
        <f aca="true" t="shared" si="1" ref="D47:N47">SUM(D42:D46)</f>
        <v>5</v>
      </c>
      <c r="E47" s="38">
        <f t="shared" si="1"/>
        <v>32305</v>
      </c>
      <c r="F47" s="33">
        <f t="shared" si="1"/>
        <v>0</v>
      </c>
      <c r="G47" s="33">
        <f t="shared" si="1"/>
        <v>0</v>
      </c>
      <c r="H47" s="33">
        <f t="shared" si="1"/>
        <v>0</v>
      </c>
      <c r="I47" s="38">
        <f t="shared" si="1"/>
        <v>6461</v>
      </c>
      <c r="J47" s="33">
        <f t="shared" si="1"/>
        <v>0</v>
      </c>
      <c r="K47" s="33">
        <f t="shared" si="1"/>
        <v>0</v>
      </c>
      <c r="L47" s="38">
        <f t="shared" si="1"/>
        <v>38766</v>
      </c>
      <c r="M47" s="38">
        <f t="shared" si="1"/>
        <v>193830</v>
      </c>
      <c r="N47" s="171">
        <f t="shared" si="1"/>
        <v>0</v>
      </c>
      <c r="O47" s="172"/>
      <c r="P47" s="30"/>
    </row>
    <row r="48" spans="1:16" ht="21" customHeight="1">
      <c r="A48" s="40"/>
      <c r="B48" s="206" t="s">
        <v>188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121"/>
      <c r="O48" s="122"/>
      <c r="P48" s="30"/>
    </row>
    <row r="49" spans="1:16" ht="21" customHeight="1">
      <c r="A49" s="61">
        <v>1</v>
      </c>
      <c r="B49" s="73" t="s">
        <v>149</v>
      </c>
      <c r="C49" s="41">
        <v>14</v>
      </c>
      <c r="D49" s="41">
        <v>1</v>
      </c>
      <c r="E49" s="120">
        <v>6461</v>
      </c>
      <c r="F49" s="41"/>
      <c r="G49" s="41"/>
      <c r="H49" s="41" t="s">
        <v>143</v>
      </c>
      <c r="I49" s="120">
        <f>E49*0.2</f>
        <v>1292.2</v>
      </c>
      <c r="J49" s="41"/>
      <c r="K49" s="41"/>
      <c r="L49" s="120">
        <f aca="true" t="shared" si="2" ref="L49:L56">E49+I49</f>
        <v>7753.2</v>
      </c>
      <c r="M49" s="120">
        <f>L49*5</f>
        <v>38766</v>
      </c>
      <c r="N49" s="111"/>
      <c r="O49" s="112"/>
      <c r="P49" s="30"/>
    </row>
    <row r="50" spans="1:16" ht="21" customHeight="1">
      <c r="A50" s="61">
        <v>2</v>
      </c>
      <c r="B50" s="73" t="s">
        <v>16</v>
      </c>
      <c r="C50" s="41">
        <v>12</v>
      </c>
      <c r="D50" s="41">
        <v>1</v>
      </c>
      <c r="E50" s="120">
        <v>5660</v>
      </c>
      <c r="F50" s="41"/>
      <c r="G50" s="41"/>
      <c r="H50" s="41"/>
      <c r="I50" s="120">
        <f>E50*0.2</f>
        <v>1132</v>
      </c>
      <c r="J50" s="41"/>
      <c r="K50" s="41"/>
      <c r="L50" s="120">
        <f t="shared" si="2"/>
        <v>6792</v>
      </c>
      <c r="M50" s="131">
        <f>L50*5</f>
        <v>33960</v>
      </c>
      <c r="N50" s="111"/>
      <c r="O50" s="112"/>
      <c r="P50" s="30"/>
    </row>
    <row r="51" spans="1:16" ht="21" customHeight="1">
      <c r="A51" s="61">
        <v>3</v>
      </c>
      <c r="B51" s="73" t="s">
        <v>16</v>
      </c>
      <c r="C51" s="41">
        <v>12</v>
      </c>
      <c r="D51" s="41">
        <v>1</v>
      </c>
      <c r="E51" s="120">
        <v>5660</v>
      </c>
      <c r="F51" s="41"/>
      <c r="G51" s="41"/>
      <c r="H51" s="41"/>
      <c r="I51" s="120">
        <f>E51*0.2</f>
        <v>1132</v>
      </c>
      <c r="J51" s="41"/>
      <c r="K51" s="41"/>
      <c r="L51" s="120">
        <f t="shared" si="2"/>
        <v>6792</v>
      </c>
      <c r="M51" s="131">
        <f>L51*5</f>
        <v>33960</v>
      </c>
      <c r="N51" s="111"/>
      <c r="O51" s="112"/>
      <c r="P51" s="30"/>
    </row>
    <row r="52" spans="1:16" ht="21" customHeight="1">
      <c r="A52" s="61">
        <v>4</v>
      </c>
      <c r="B52" s="73" t="s">
        <v>16</v>
      </c>
      <c r="C52" s="41">
        <v>12</v>
      </c>
      <c r="D52" s="41">
        <v>1</v>
      </c>
      <c r="E52" s="120">
        <v>5660</v>
      </c>
      <c r="F52" s="41"/>
      <c r="G52" s="41"/>
      <c r="H52" s="41"/>
      <c r="I52" s="120">
        <f>E52*0.2</f>
        <v>1132</v>
      </c>
      <c r="J52" s="41"/>
      <c r="K52" s="41"/>
      <c r="L52" s="120">
        <f t="shared" si="2"/>
        <v>6792</v>
      </c>
      <c r="M52" s="131">
        <f>L52*5</f>
        <v>33960</v>
      </c>
      <c r="N52" s="111"/>
      <c r="O52" s="112"/>
      <c r="P52" s="30"/>
    </row>
    <row r="53" spans="1:16" ht="21" customHeight="1">
      <c r="A53" s="40"/>
      <c r="B53" s="140" t="s">
        <v>14</v>
      </c>
      <c r="C53" s="41"/>
      <c r="D53" s="41">
        <f>SUM(D49:D52)</f>
        <v>4</v>
      </c>
      <c r="E53" s="41">
        <f aca="true" t="shared" si="3" ref="E53:L53">SUM(E49:E52)</f>
        <v>23441</v>
      </c>
      <c r="F53" s="41">
        <f t="shared" si="3"/>
        <v>0</v>
      </c>
      <c r="G53" s="41">
        <f t="shared" si="3"/>
        <v>0</v>
      </c>
      <c r="H53" s="41">
        <f t="shared" si="3"/>
        <v>0</v>
      </c>
      <c r="I53" s="41">
        <f t="shared" si="3"/>
        <v>4688.2</v>
      </c>
      <c r="J53" s="41">
        <f t="shared" si="3"/>
        <v>0</v>
      </c>
      <c r="K53" s="41">
        <f t="shared" si="3"/>
        <v>0</v>
      </c>
      <c r="L53" s="41">
        <f t="shared" si="3"/>
        <v>28129.2</v>
      </c>
      <c r="M53" s="131">
        <f>L53*5</f>
        <v>140646</v>
      </c>
      <c r="N53" s="111"/>
      <c r="O53" s="112"/>
      <c r="P53" s="30"/>
    </row>
    <row r="54" spans="1:30" ht="21" customHeight="1">
      <c r="A54" s="40"/>
      <c r="B54" s="182" t="s">
        <v>181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4"/>
      <c r="N54" s="111"/>
      <c r="O54" s="112"/>
      <c r="P54" s="30"/>
      <c r="S54" s="211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3"/>
    </row>
    <row r="55" spans="1:16" ht="21" customHeight="1">
      <c r="A55" s="40">
        <v>1</v>
      </c>
      <c r="B55" s="73" t="s">
        <v>149</v>
      </c>
      <c r="C55" s="41">
        <v>14</v>
      </c>
      <c r="D55" s="41">
        <v>1</v>
      </c>
      <c r="E55" s="120">
        <v>6461</v>
      </c>
      <c r="F55" s="41"/>
      <c r="G55" s="41"/>
      <c r="H55" s="41"/>
      <c r="I55" s="120">
        <f>E55*20%</f>
        <v>1292.2</v>
      </c>
      <c r="J55" s="41"/>
      <c r="K55" s="41"/>
      <c r="L55" s="120">
        <f>E55+F55+G55+H55+I55+J55+K55</f>
        <v>7753.2</v>
      </c>
      <c r="M55" s="120">
        <f>L55*5</f>
        <v>38766</v>
      </c>
      <c r="N55" s="111"/>
      <c r="O55" s="112"/>
      <c r="P55" s="30"/>
    </row>
    <row r="56" spans="1:18" ht="21" customHeight="1">
      <c r="A56" s="40">
        <v>2</v>
      </c>
      <c r="B56" s="73" t="s">
        <v>123</v>
      </c>
      <c r="C56" s="41">
        <v>12</v>
      </c>
      <c r="D56" s="41">
        <v>1</v>
      </c>
      <c r="E56" s="120">
        <v>5660</v>
      </c>
      <c r="F56" s="41"/>
      <c r="G56" s="41"/>
      <c r="H56" s="41"/>
      <c r="I56" s="120">
        <f>E56*0.2</f>
        <v>1132</v>
      </c>
      <c r="J56" s="41"/>
      <c r="K56" s="41"/>
      <c r="L56" s="120">
        <f t="shared" si="2"/>
        <v>6792</v>
      </c>
      <c r="M56" s="131">
        <f>L56*5</f>
        <v>33960</v>
      </c>
      <c r="N56" s="111"/>
      <c r="O56" s="112"/>
      <c r="P56" s="30"/>
      <c r="Q56" s="210"/>
      <c r="R56" s="195"/>
    </row>
    <row r="57" spans="1:18" ht="30.75" customHeight="1">
      <c r="A57" s="40">
        <v>3</v>
      </c>
      <c r="B57" s="73" t="s">
        <v>158</v>
      </c>
      <c r="C57" s="115">
        <v>10</v>
      </c>
      <c r="D57" s="28">
        <v>1</v>
      </c>
      <c r="E57" s="31">
        <v>4859</v>
      </c>
      <c r="F57" s="28"/>
      <c r="G57" s="28"/>
      <c r="H57" s="28"/>
      <c r="I57" s="31">
        <f>E57*0.3</f>
        <v>1457.7</v>
      </c>
      <c r="J57" s="27"/>
      <c r="K57" s="28"/>
      <c r="L57" s="31">
        <f>SUM(E57:K57)</f>
        <v>6316.7</v>
      </c>
      <c r="M57" s="31">
        <f>L57*5</f>
        <v>31583.5</v>
      </c>
      <c r="N57" s="111"/>
      <c r="O57" s="112"/>
      <c r="P57" s="30"/>
      <c r="Q57" s="139"/>
      <c r="R57" s="138"/>
    </row>
    <row r="58" spans="1:16" ht="36.75" customHeight="1">
      <c r="A58" s="40">
        <v>4</v>
      </c>
      <c r="B58" s="73" t="s">
        <v>193</v>
      </c>
      <c r="C58" s="41">
        <v>10</v>
      </c>
      <c r="D58" s="41">
        <v>1</v>
      </c>
      <c r="E58" s="31">
        <v>4859</v>
      </c>
      <c r="F58" s="41"/>
      <c r="G58" s="41"/>
      <c r="H58" s="41"/>
      <c r="I58" s="120">
        <f>E58*0.2</f>
        <v>971.8000000000001</v>
      </c>
      <c r="J58" s="41"/>
      <c r="K58" s="41"/>
      <c r="L58" s="120">
        <f>E58+F58+G58+H58+I58+J58+K58</f>
        <v>5830.8</v>
      </c>
      <c r="M58" s="131">
        <f>L58*5</f>
        <v>29154</v>
      </c>
      <c r="N58" s="111"/>
      <c r="O58" s="112">
        <f>(6000-L58)*5</f>
        <v>845.9999999999991</v>
      </c>
      <c r="P58" s="30"/>
    </row>
    <row r="59" spans="1:16" ht="21" customHeight="1">
      <c r="A59" s="40"/>
      <c r="B59" s="102" t="s">
        <v>14</v>
      </c>
      <c r="C59" s="41"/>
      <c r="D59" s="41">
        <f>SUM(D55:D58)</f>
        <v>4</v>
      </c>
      <c r="E59" s="41">
        <f aca="true" t="shared" si="4" ref="E59:M59">SUM(E55:E58)</f>
        <v>21839</v>
      </c>
      <c r="F59" s="41">
        <f t="shared" si="4"/>
        <v>0</v>
      </c>
      <c r="G59" s="41">
        <f t="shared" si="4"/>
        <v>0</v>
      </c>
      <c r="H59" s="41">
        <f t="shared" si="4"/>
        <v>0</v>
      </c>
      <c r="I59" s="41">
        <f t="shared" si="4"/>
        <v>4853.7</v>
      </c>
      <c r="J59" s="41">
        <f t="shared" si="4"/>
        <v>0</v>
      </c>
      <c r="K59" s="41">
        <f t="shared" si="4"/>
        <v>0</v>
      </c>
      <c r="L59" s="41">
        <f t="shared" si="4"/>
        <v>26692.7</v>
      </c>
      <c r="M59" s="131">
        <f t="shared" si="4"/>
        <v>133463.5</v>
      </c>
      <c r="N59" s="41">
        <f>SUM(N49:N58)</f>
        <v>0</v>
      </c>
      <c r="O59" s="41">
        <f>SUM(O49:O58)</f>
        <v>845.9999999999991</v>
      </c>
      <c r="P59" s="30"/>
    </row>
    <row r="60" spans="1:18" ht="30" customHeight="1">
      <c r="A60" s="129"/>
      <c r="B60" s="182" t="s">
        <v>191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4"/>
      <c r="N60" s="118"/>
      <c r="O60" s="118"/>
      <c r="P60" s="118"/>
      <c r="Q60" s="79"/>
      <c r="R60" s="79"/>
    </row>
    <row r="61" spans="1:16" ht="18" customHeight="1">
      <c r="A61" s="61">
        <v>1</v>
      </c>
      <c r="B61" s="53" t="s">
        <v>180</v>
      </c>
      <c r="C61" s="28">
        <v>14</v>
      </c>
      <c r="D61" s="41">
        <v>1</v>
      </c>
      <c r="E61" s="120">
        <v>6461</v>
      </c>
      <c r="F61" s="43"/>
      <c r="G61" s="43"/>
      <c r="H61" s="43"/>
      <c r="I61" s="28"/>
      <c r="J61" s="43"/>
      <c r="K61" s="43"/>
      <c r="L61" s="31">
        <f>SUM(E61:K61)</f>
        <v>6461</v>
      </c>
      <c r="M61" s="31">
        <f>L61*D61*5</f>
        <v>32305</v>
      </c>
      <c r="N61" s="30"/>
      <c r="O61" s="30"/>
      <c r="P61" s="30"/>
    </row>
    <row r="62" spans="1:16" ht="33" customHeight="1">
      <c r="A62" s="61">
        <v>2</v>
      </c>
      <c r="B62" s="53" t="s">
        <v>39</v>
      </c>
      <c r="C62" s="28">
        <v>12</v>
      </c>
      <c r="D62" s="41">
        <v>1</v>
      </c>
      <c r="E62" s="120">
        <v>5660</v>
      </c>
      <c r="F62" s="43"/>
      <c r="G62" s="43"/>
      <c r="H62" s="43"/>
      <c r="I62" s="28"/>
      <c r="J62" s="43"/>
      <c r="K62" s="43"/>
      <c r="L62" s="31">
        <f>SUM(E62:K62)</f>
        <v>5660</v>
      </c>
      <c r="M62" s="31">
        <f>L62*D62*5</f>
        <v>28300</v>
      </c>
      <c r="N62" s="30"/>
      <c r="O62" s="30">
        <f>(6000-L62)*5</f>
        <v>1700</v>
      </c>
      <c r="P62" s="30"/>
    </row>
    <row r="63" spans="1:16" ht="37.5" customHeight="1">
      <c r="A63" s="61">
        <v>3</v>
      </c>
      <c r="B63" s="53" t="s">
        <v>39</v>
      </c>
      <c r="C63" s="28">
        <v>12</v>
      </c>
      <c r="D63" s="41">
        <v>1</v>
      </c>
      <c r="E63" s="120">
        <v>5660</v>
      </c>
      <c r="F63" s="114">
        <f>E63*15%</f>
        <v>849</v>
      </c>
      <c r="G63" s="43"/>
      <c r="H63" s="43"/>
      <c r="I63" s="28"/>
      <c r="J63" s="43"/>
      <c r="K63" s="43"/>
      <c r="L63" s="31">
        <f>E63+F63+H63+I63+J63+K63</f>
        <v>6509</v>
      </c>
      <c r="M63" s="31">
        <f>L63*D63*5</f>
        <v>32545</v>
      </c>
      <c r="N63" s="30"/>
      <c r="O63" s="30"/>
      <c r="P63" s="30"/>
    </row>
    <row r="64" spans="1:16" ht="21" customHeight="1">
      <c r="A64" s="61">
        <v>4</v>
      </c>
      <c r="B64" s="53" t="s">
        <v>31</v>
      </c>
      <c r="C64" s="28">
        <v>11</v>
      </c>
      <c r="D64" s="41">
        <v>3</v>
      </c>
      <c r="E64" s="120">
        <v>5260</v>
      </c>
      <c r="F64" s="43"/>
      <c r="G64" s="43"/>
      <c r="H64" s="43"/>
      <c r="I64" s="28"/>
      <c r="J64" s="43"/>
      <c r="K64" s="43"/>
      <c r="L64" s="31">
        <f>SUM(E64:K64)*D64</f>
        <v>15780</v>
      </c>
      <c r="M64" s="31">
        <f>L64*5</f>
        <v>78900</v>
      </c>
      <c r="N64" s="30"/>
      <c r="O64" s="30">
        <f>(6000-E64)*15</f>
        <v>11100</v>
      </c>
      <c r="P64" s="30"/>
    </row>
    <row r="65" spans="1:16" ht="20.25" customHeight="1">
      <c r="A65" s="40"/>
      <c r="B65" s="109" t="s">
        <v>14</v>
      </c>
      <c r="C65" s="33"/>
      <c r="D65" s="33">
        <f>SUM(D61:D64)</f>
        <v>6</v>
      </c>
      <c r="E65" s="38">
        <f>SUM(E61:E64)</f>
        <v>23041</v>
      </c>
      <c r="F65" s="130">
        <f>SUM(F61:F64)</f>
        <v>849</v>
      </c>
      <c r="G65" s="44"/>
      <c r="H65" s="44"/>
      <c r="I65" s="33"/>
      <c r="J65" s="44"/>
      <c r="K65" s="44"/>
      <c r="L65" s="38">
        <f>SUM(L61:L64)</f>
        <v>34410</v>
      </c>
      <c r="M65" s="31">
        <f>SUM(M61:M64)</f>
        <v>172050</v>
      </c>
      <c r="N65" s="30"/>
      <c r="O65" s="30">
        <f>O63+O64+O62</f>
        <v>12800</v>
      </c>
      <c r="P65" s="30"/>
    </row>
    <row r="66" spans="1:18" ht="24" customHeight="1">
      <c r="A66" s="182" t="s">
        <v>190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4"/>
      <c r="N66" s="163"/>
      <c r="O66" s="163"/>
      <c r="P66" s="163"/>
      <c r="Q66" s="79"/>
      <c r="R66" s="79"/>
    </row>
    <row r="67" spans="1:16" ht="20.25" customHeight="1">
      <c r="A67" s="27">
        <v>1</v>
      </c>
      <c r="B67" s="51" t="s">
        <v>180</v>
      </c>
      <c r="C67" s="27">
        <v>14</v>
      </c>
      <c r="D67" s="28">
        <v>1</v>
      </c>
      <c r="E67" s="31">
        <v>6461</v>
      </c>
      <c r="F67" s="31">
        <f>E67*0.2</f>
        <v>1292.2</v>
      </c>
      <c r="G67" s="28"/>
      <c r="H67" s="28"/>
      <c r="I67" s="31">
        <f>(E67*20)/100</f>
        <v>1292.2</v>
      </c>
      <c r="J67" s="28"/>
      <c r="K67" s="27"/>
      <c r="L67" s="31">
        <f>SUM(E67:K67)</f>
        <v>9045.4</v>
      </c>
      <c r="M67" s="31">
        <f>L67*5</f>
        <v>45227</v>
      </c>
      <c r="N67" s="150"/>
      <c r="O67" s="150"/>
      <c r="P67" s="150"/>
    </row>
    <row r="68" spans="1:16" ht="20.25" customHeight="1">
      <c r="A68" s="27">
        <v>2</v>
      </c>
      <c r="B68" s="73" t="s">
        <v>123</v>
      </c>
      <c r="C68" s="27">
        <v>12</v>
      </c>
      <c r="D68" s="28">
        <v>1</v>
      </c>
      <c r="E68" s="31">
        <v>5660</v>
      </c>
      <c r="F68" s="28"/>
      <c r="G68" s="28"/>
      <c r="H68" s="28"/>
      <c r="I68" s="31">
        <f>E68*0.2</f>
        <v>1132</v>
      </c>
      <c r="J68" s="28"/>
      <c r="K68" s="27"/>
      <c r="L68" s="31">
        <f>SUM(E68:K68)</f>
        <v>6792</v>
      </c>
      <c r="M68" s="31">
        <f>L68*5</f>
        <v>33960</v>
      </c>
      <c r="N68" s="150"/>
      <c r="O68" s="150"/>
      <c r="P68" s="150"/>
    </row>
    <row r="69" spans="1:16" ht="18.75" customHeight="1">
      <c r="A69" s="27">
        <v>3</v>
      </c>
      <c r="B69" s="73" t="s">
        <v>154</v>
      </c>
      <c r="C69" s="27">
        <v>14</v>
      </c>
      <c r="D69" s="28">
        <v>1</v>
      </c>
      <c r="E69" s="31">
        <v>6461</v>
      </c>
      <c r="F69" s="28"/>
      <c r="G69" s="28"/>
      <c r="H69" s="28"/>
      <c r="I69" s="31">
        <f>E69*0.2</f>
        <v>1292.2</v>
      </c>
      <c r="J69" s="28"/>
      <c r="K69" s="27"/>
      <c r="L69" s="31">
        <f>SUM(E69:K69)</f>
        <v>7753.2</v>
      </c>
      <c r="M69" s="31">
        <f>L69*5</f>
        <v>38766</v>
      </c>
      <c r="N69" s="30"/>
      <c r="O69" s="30"/>
      <c r="P69" s="30"/>
    </row>
    <row r="70" spans="1:16" ht="21" customHeight="1">
      <c r="A70" s="27">
        <v>4</v>
      </c>
      <c r="B70" s="73" t="s">
        <v>155</v>
      </c>
      <c r="C70" s="27">
        <v>9</v>
      </c>
      <c r="D70" s="28">
        <v>1</v>
      </c>
      <c r="E70" s="120">
        <v>4619</v>
      </c>
      <c r="F70" s="28"/>
      <c r="G70" s="28"/>
      <c r="H70" s="28"/>
      <c r="I70" s="31">
        <f>(E70*10%)*D70</f>
        <v>461.90000000000003</v>
      </c>
      <c r="J70" s="28"/>
      <c r="K70" s="27"/>
      <c r="L70" s="31">
        <f>E70+I70</f>
        <v>5080.9</v>
      </c>
      <c r="M70" s="31">
        <f>L70*5</f>
        <v>25404.5</v>
      </c>
      <c r="N70" s="30"/>
      <c r="O70" s="30">
        <f>(6000-L70)*5</f>
        <v>4595.500000000002</v>
      </c>
      <c r="P70" s="30"/>
    </row>
    <row r="71" spans="1:16" ht="15">
      <c r="A71" s="35"/>
      <c r="B71" s="102" t="s">
        <v>14</v>
      </c>
      <c r="C71" s="35"/>
      <c r="D71" s="33">
        <f>SUM(D67:D70)</f>
        <v>4</v>
      </c>
      <c r="E71" s="36">
        <f>SUM(E67:E70)</f>
        <v>23201</v>
      </c>
      <c r="F71" s="36">
        <f>SUM(F67:F68)</f>
        <v>1292.2</v>
      </c>
      <c r="G71" s="32"/>
      <c r="H71" s="32"/>
      <c r="I71" s="36">
        <f>SUM(I67:I70)</f>
        <v>4178.299999999999</v>
      </c>
      <c r="J71" s="32"/>
      <c r="K71" s="32"/>
      <c r="L71" s="36">
        <f>SUM(L67:L70)</f>
        <v>28671.5</v>
      </c>
      <c r="M71" s="36">
        <f>SUM(M67:M70)</f>
        <v>143357.5</v>
      </c>
      <c r="N71" s="150">
        <f>N68+O69+O70</f>
        <v>4595.500000000002</v>
      </c>
      <c r="O71" s="150"/>
      <c r="P71" s="150"/>
    </row>
    <row r="72" spans="1:18" ht="29.25" customHeight="1">
      <c r="A72" s="182" t="s">
        <v>199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3"/>
      <c r="P72" s="163"/>
      <c r="Q72" s="79"/>
      <c r="R72" s="79"/>
    </row>
    <row r="73" spans="1:16" ht="19.5" customHeight="1">
      <c r="A73" s="27">
        <v>1</v>
      </c>
      <c r="B73" s="51" t="s">
        <v>203</v>
      </c>
      <c r="C73" s="27">
        <v>14</v>
      </c>
      <c r="D73" s="28">
        <v>1</v>
      </c>
      <c r="E73" s="31">
        <v>6461</v>
      </c>
      <c r="F73" s="28"/>
      <c r="G73" s="28"/>
      <c r="H73" s="28"/>
      <c r="I73" s="28">
        <f>E73*0.1</f>
        <v>646.1</v>
      </c>
      <c r="J73" s="27"/>
      <c r="K73" s="28"/>
      <c r="L73" s="31">
        <f>SUM(E73:K73)</f>
        <v>7107.1</v>
      </c>
      <c r="M73" s="31">
        <f>L73*5</f>
        <v>35535.5</v>
      </c>
      <c r="N73" s="181"/>
      <c r="O73" s="181"/>
      <c r="P73" s="181"/>
    </row>
    <row r="74" spans="1:16" ht="31.5" customHeight="1">
      <c r="A74" s="27">
        <v>2</v>
      </c>
      <c r="B74" s="73" t="s">
        <v>183</v>
      </c>
      <c r="C74" s="115">
        <v>11</v>
      </c>
      <c r="D74" s="28">
        <v>1</v>
      </c>
      <c r="E74" s="120">
        <v>5260</v>
      </c>
      <c r="F74" s="28"/>
      <c r="G74" s="28"/>
      <c r="H74" s="28"/>
      <c r="I74" s="31">
        <f>E74*0.1</f>
        <v>526</v>
      </c>
      <c r="J74" s="27"/>
      <c r="K74" s="28"/>
      <c r="L74" s="31">
        <f>SUM(E74:K74)</f>
        <v>5786</v>
      </c>
      <c r="M74" s="31">
        <f>L74*5</f>
        <v>28930</v>
      </c>
      <c r="N74" s="181">
        <f>(6000-L74)*5</f>
        <v>1070</v>
      </c>
      <c r="O74" s="181"/>
      <c r="P74" s="181"/>
    </row>
    <row r="75" spans="1:16" ht="20.25" customHeight="1">
      <c r="A75" s="27">
        <v>3</v>
      </c>
      <c r="B75" s="73" t="s">
        <v>187</v>
      </c>
      <c r="C75" s="27">
        <v>10</v>
      </c>
      <c r="D75" s="28">
        <v>0.5</v>
      </c>
      <c r="E75" s="31">
        <v>4859</v>
      </c>
      <c r="F75" s="28"/>
      <c r="G75" s="28"/>
      <c r="H75" s="28"/>
      <c r="I75" s="31"/>
      <c r="J75" s="27"/>
      <c r="K75" s="28"/>
      <c r="L75" s="31">
        <f>E75/2</f>
        <v>2429.5</v>
      </c>
      <c r="M75" s="31">
        <f>L75*5</f>
        <v>12147.5</v>
      </c>
      <c r="N75" s="125"/>
      <c r="O75" s="126">
        <f>(3000-L75)*5</f>
        <v>2852.5</v>
      </c>
      <c r="P75" s="127"/>
    </row>
    <row r="76" spans="1:16" ht="15">
      <c r="A76" s="35"/>
      <c r="B76" s="102" t="s">
        <v>14</v>
      </c>
      <c r="C76" s="35"/>
      <c r="D76" s="33">
        <f>SUM(D73:D75)</f>
        <v>2.5</v>
      </c>
      <c r="E76" s="36">
        <f>E73+E74+E75</f>
        <v>16580</v>
      </c>
      <c r="F76" s="32"/>
      <c r="G76" s="32"/>
      <c r="H76" s="32"/>
      <c r="I76" s="32">
        <f>SUM(I73:I74)</f>
        <v>1172.1</v>
      </c>
      <c r="J76" s="32"/>
      <c r="K76" s="32"/>
      <c r="L76" s="36">
        <f>SUM(L73:L75)</f>
        <v>15322.6</v>
      </c>
      <c r="M76" s="36">
        <f>SUM(M73:M75)</f>
        <v>76613</v>
      </c>
      <c r="N76" s="187">
        <f>N73+N74+O75</f>
        <v>3922.5</v>
      </c>
      <c r="O76" s="188"/>
      <c r="P76" s="189"/>
    </row>
    <row r="77" spans="1:18" ht="31.5" customHeight="1">
      <c r="A77" s="182" t="s">
        <v>182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4"/>
      <c r="N77" s="163"/>
      <c r="O77" s="163"/>
      <c r="P77" s="163"/>
      <c r="Q77" s="79"/>
      <c r="R77" s="79"/>
    </row>
    <row r="78" spans="1:16" ht="16.5" customHeight="1">
      <c r="A78" s="27">
        <v>1</v>
      </c>
      <c r="B78" s="51" t="s">
        <v>185</v>
      </c>
      <c r="C78" s="27">
        <v>5</v>
      </c>
      <c r="D78" s="41">
        <v>1</v>
      </c>
      <c r="E78" s="31">
        <v>3631</v>
      </c>
      <c r="F78" s="43"/>
      <c r="G78" s="43"/>
      <c r="H78" s="43"/>
      <c r="I78" s="43"/>
      <c r="J78" s="43"/>
      <c r="K78" s="37"/>
      <c r="L78" s="31">
        <f>E78</f>
        <v>3631</v>
      </c>
      <c r="M78" s="31">
        <f>L78*5</f>
        <v>18155</v>
      </c>
      <c r="N78" s="46"/>
      <c r="O78" s="47">
        <f>(6000-L78)*5</f>
        <v>11845</v>
      </c>
      <c r="P78" s="48"/>
    </row>
    <row r="79" spans="1:16" ht="16.5" customHeight="1">
      <c r="A79" s="27">
        <v>2</v>
      </c>
      <c r="B79" s="51" t="s">
        <v>184</v>
      </c>
      <c r="C79" s="27">
        <v>5</v>
      </c>
      <c r="D79" s="41">
        <v>1</v>
      </c>
      <c r="E79" s="31">
        <v>3631</v>
      </c>
      <c r="F79" s="43"/>
      <c r="G79" s="43"/>
      <c r="H79" s="43"/>
      <c r="I79" s="43"/>
      <c r="J79" s="43"/>
      <c r="K79" s="37"/>
      <c r="L79" s="31">
        <f>E79</f>
        <v>3631</v>
      </c>
      <c r="M79" s="31">
        <f>L79*5</f>
        <v>18155</v>
      </c>
      <c r="N79" s="46"/>
      <c r="O79" s="47">
        <f>(6000-L79)*5</f>
        <v>11845</v>
      </c>
      <c r="P79" s="48"/>
    </row>
    <row r="80" spans="1:16" ht="18" customHeight="1">
      <c r="A80" s="27">
        <v>3</v>
      </c>
      <c r="B80" s="51" t="s">
        <v>18</v>
      </c>
      <c r="C80" s="27">
        <v>3</v>
      </c>
      <c r="D80" s="41">
        <v>1</v>
      </c>
      <c r="E80" s="31">
        <v>3151</v>
      </c>
      <c r="F80" s="28"/>
      <c r="G80" s="28"/>
      <c r="H80" s="5">
        <f>(E80*25)/100</f>
        <v>787.75</v>
      </c>
      <c r="I80" s="5"/>
      <c r="J80" s="5">
        <f>H80</f>
        <v>787.75</v>
      </c>
      <c r="K80" s="27"/>
      <c r="L80" s="31">
        <f>SUM(E80:J80)</f>
        <v>4726.5</v>
      </c>
      <c r="M80" s="31">
        <f>L80*5</f>
        <v>23632.5</v>
      </c>
      <c r="N80" s="181">
        <f>(6000-L80)*5</f>
        <v>6367.5</v>
      </c>
      <c r="O80" s="181"/>
      <c r="P80" s="181"/>
    </row>
    <row r="81" spans="1:16" ht="18.75" customHeight="1">
      <c r="A81" s="27">
        <v>4</v>
      </c>
      <c r="B81" s="51" t="s">
        <v>134</v>
      </c>
      <c r="C81" s="27">
        <v>3</v>
      </c>
      <c r="D81" s="41">
        <v>1</v>
      </c>
      <c r="E81" s="31">
        <v>3151</v>
      </c>
      <c r="F81" s="28"/>
      <c r="G81" s="28"/>
      <c r="H81" s="5">
        <f>(E81*25)/100</f>
        <v>787.75</v>
      </c>
      <c r="I81" s="5"/>
      <c r="J81" s="5">
        <f>H81</f>
        <v>787.75</v>
      </c>
      <c r="K81" s="27"/>
      <c r="L81" s="31">
        <f>SUM(E81:J81)</f>
        <v>4726.5</v>
      </c>
      <c r="M81" s="31">
        <f>L81*5</f>
        <v>23632.5</v>
      </c>
      <c r="N81" s="181">
        <f>(6000-L81)*5</f>
        <v>6367.5</v>
      </c>
      <c r="O81" s="181"/>
      <c r="P81" s="181"/>
    </row>
    <row r="82" spans="1:17" ht="17.25" customHeight="1">
      <c r="A82" s="27">
        <v>5</v>
      </c>
      <c r="B82" s="51" t="s">
        <v>19</v>
      </c>
      <c r="C82" s="27">
        <v>1</v>
      </c>
      <c r="D82" s="41">
        <v>3</v>
      </c>
      <c r="E82" s="31">
        <v>2670</v>
      </c>
      <c r="F82" s="28"/>
      <c r="G82" s="28"/>
      <c r="H82" s="28"/>
      <c r="I82" s="28"/>
      <c r="J82" s="28"/>
      <c r="K82" s="27"/>
      <c r="L82" s="31">
        <f>(E82*D82)</f>
        <v>8010</v>
      </c>
      <c r="M82" s="31">
        <f>L82*5</f>
        <v>40050</v>
      </c>
      <c r="N82" s="181">
        <f>((6000-E82)*15)</f>
        <v>49950</v>
      </c>
      <c r="O82" s="181"/>
      <c r="P82" s="181"/>
      <c r="Q82" s="119"/>
    </row>
    <row r="83" spans="1:19" ht="16.5" customHeight="1">
      <c r="A83" s="27">
        <v>6</v>
      </c>
      <c r="B83" s="51" t="s">
        <v>20</v>
      </c>
      <c r="C83" s="27">
        <v>1</v>
      </c>
      <c r="D83" s="41">
        <v>1.75</v>
      </c>
      <c r="E83" s="31">
        <v>2670</v>
      </c>
      <c r="F83" s="28"/>
      <c r="G83" s="28"/>
      <c r="H83" s="28"/>
      <c r="I83" s="28"/>
      <c r="J83" s="28"/>
      <c r="K83" s="28">
        <f>E83*0.1</f>
        <v>267</v>
      </c>
      <c r="L83" s="31">
        <f>(E83+K83)*D83</f>
        <v>5139.75</v>
      </c>
      <c r="M83" s="31">
        <v>25698.75</v>
      </c>
      <c r="N83" s="181">
        <f>((6000-E83)*5)+1000</f>
        <v>17650</v>
      </c>
      <c r="O83" s="181"/>
      <c r="P83" s="181"/>
      <c r="S83" s="22"/>
    </row>
    <row r="84" spans="1:19" ht="16.5" customHeight="1">
      <c r="A84" s="27">
        <v>7</v>
      </c>
      <c r="B84" s="51" t="s">
        <v>30</v>
      </c>
      <c r="C84" s="27">
        <v>2</v>
      </c>
      <c r="D84" s="41">
        <v>0.5</v>
      </c>
      <c r="E84" s="31">
        <v>2910</v>
      </c>
      <c r="F84" s="28"/>
      <c r="G84" s="28"/>
      <c r="H84" s="28"/>
      <c r="I84" s="28"/>
      <c r="J84" s="28"/>
      <c r="K84" s="28"/>
      <c r="L84" s="31">
        <f>E84/2</f>
        <v>1455</v>
      </c>
      <c r="M84" s="31">
        <f>L84*5</f>
        <v>7275</v>
      </c>
      <c r="N84" s="124"/>
      <c r="O84" s="124">
        <f>(3000-L84)*12</f>
        <v>18540</v>
      </c>
      <c r="P84" s="124"/>
      <c r="S84" s="22"/>
    </row>
    <row r="85" spans="1:16" ht="15">
      <c r="A85" s="27">
        <v>8</v>
      </c>
      <c r="B85" s="51" t="s">
        <v>21</v>
      </c>
      <c r="C85" s="27">
        <v>1</v>
      </c>
      <c r="D85" s="41">
        <v>1</v>
      </c>
      <c r="E85" s="31">
        <v>2670</v>
      </c>
      <c r="F85" s="28"/>
      <c r="G85" s="28"/>
      <c r="H85" s="28"/>
      <c r="I85" s="28"/>
      <c r="J85" s="28"/>
      <c r="K85" s="27"/>
      <c r="L85" s="50">
        <f>E85*D85</f>
        <v>2670</v>
      </c>
      <c r="M85" s="31">
        <f>L85*5</f>
        <v>13350</v>
      </c>
      <c r="N85" s="181">
        <f>(3000-L85)*5</f>
        <v>1650</v>
      </c>
      <c r="O85" s="181"/>
      <c r="P85" s="181"/>
    </row>
    <row r="86" spans="1:18" ht="15">
      <c r="A86" s="35"/>
      <c r="B86" s="52" t="s">
        <v>14</v>
      </c>
      <c r="C86" s="32" t="s">
        <v>33</v>
      </c>
      <c r="D86" s="33">
        <f>SUM(D78:D85)</f>
        <v>10.25</v>
      </c>
      <c r="E86" s="36">
        <f>SUM(E78:E85)</f>
        <v>24484</v>
      </c>
      <c r="F86" s="32"/>
      <c r="G86" s="32"/>
      <c r="H86" s="32">
        <f>SUM(H78:H85)</f>
        <v>1575.5</v>
      </c>
      <c r="I86" s="32"/>
      <c r="J86" s="32">
        <f>SUM(J78:J85)</f>
        <v>1575.5</v>
      </c>
      <c r="K86" s="32">
        <f>K83</f>
        <v>267</v>
      </c>
      <c r="L86" s="36">
        <f>SUM(L78:L85)</f>
        <v>33989.75</v>
      </c>
      <c r="M86" s="36">
        <f>SUM(M78:M85)</f>
        <v>169948.75</v>
      </c>
      <c r="N86" s="181">
        <f>SUM(N78:N85)</f>
        <v>81985</v>
      </c>
      <c r="O86" s="181"/>
      <c r="P86" s="181"/>
      <c r="Q86" s="79"/>
      <c r="R86" s="79"/>
    </row>
    <row r="87" spans="1:18" ht="15">
      <c r="A87" s="35"/>
      <c r="B87" s="56" t="s">
        <v>22</v>
      </c>
      <c r="C87" s="57"/>
      <c r="D87" s="58">
        <f aca="true" t="shared" si="5" ref="D87:M87">D86+D76+D71+D65+D59+D40+D34+D26+D47+D53</f>
        <v>50.75</v>
      </c>
      <c r="E87" s="58">
        <f t="shared" si="5"/>
        <v>253671</v>
      </c>
      <c r="F87" s="58">
        <f t="shared" si="5"/>
        <v>3113</v>
      </c>
      <c r="G87" s="58">
        <f t="shared" si="5"/>
        <v>3724.5</v>
      </c>
      <c r="H87" s="58">
        <f t="shared" si="5"/>
        <v>1575.5</v>
      </c>
      <c r="I87" s="58">
        <f t="shared" si="5"/>
        <v>29031.899999999998</v>
      </c>
      <c r="J87" s="58">
        <f t="shared" si="5"/>
        <v>1575.5</v>
      </c>
      <c r="K87" s="58">
        <f t="shared" si="5"/>
        <v>267</v>
      </c>
      <c r="L87" s="58">
        <f t="shared" si="5"/>
        <v>307136.6500000001</v>
      </c>
      <c r="M87" s="58">
        <f t="shared" si="5"/>
        <v>1535683.25</v>
      </c>
      <c r="N87" s="58" t="e">
        <f>N86+N76+N71+N65+N59+#REF!+N40+N34+N26+N47+N53</f>
        <v>#REF!</v>
      </c>
      <c r="O87" s="58">
        <f>N86+N76+N71+O65+N40+N26</f>
        <v>126123</v>
      </c>
      <c r="P87" s="58"/>
      <c r="Q87" s="58"/>
      <c r="R87" s="58"/>
    </row>
    <row r="88" spans="1:13" ht="14.25" customHeight="1">
      <c r="A88" s="1"/>
      <c r="B88" s="1"/>
      <c r="C88" s="1"/>
      <c r="D88" s="1"/>
      <c r="E88" s="71"/>
      <c r="F88" s="1"/>
      <c r="G88" s="1"/>
      <c r="H88" s="1"/>
      <c r="I88" s="1"/>
      <c r="J88" s="1"/>
      <c r="K88" s="1"/>
      <c r="L88" s="26"/>
      <c r="M88" s="86"/>
    </row>
    <row r="89" spans="1:13" ht="0.75" customHeight="1">
      <c r="A89" s="1"/>
      <c r="B89" s="1"/>
      <c r="C89" s="1"/>
      <c r="D89" s="1"/>
      <c r="E89" s="71"/>
      <c r="F89" s="1"/>
      <c r="G89" s="1"/>
      <c r="H89" s="1"/>
      <c r="I89" s="1"/>
      <c r="J89" s="1"/>
      <c r="K89" s="1"/>
      <c r="L89" s="26"/>
      <c r="M89" s="86"/>
    </row>
    <row r="90" spans="1:13" ht="15.75" customHeight="1">
      <c r="A90" s="1"/>
      <c r="B90" s="1"/>
      <c r="C90" s="1"/>
      <c r="D90" s="1"/>
      <c r="E90" s="71"/>
      <c r="F90" s="1"/>
      <c r="G90" s="1"/>
      <c r="H90" s="1"/>
      <c r="I90" s="1"/>
      <c r="J90" s="1"/>
      <c r="K90" s="1"/>
      <c r="L90" s="26"/>
      <c r="M90" s="86"/>
    </row>
    <row r="91" spans="1:13" ht="24" customHeight="1">
      <c r="A91" s="1"/>
      <c r="B91" s="1"/>
      <c r="C91" s="146" t="s">
        <v>200</v>
      </c>
      <c r="D91" s="146"/>
      <c r="E91" s="146"/>
      <c r="F91" s="146"/>
      <c r="G91" s="146"/>
      <c r="H91" s="146"/>
      <c r="I91" s="146"/>
      <c r="J91" s="146"/>
      <c r="K91" s="146"/>
      <c r="L91" s="146"/>
      <c r="M91" s="86"/>
    </row>
    <row r="92" spans="1:15" ht="19.5" customHeight="1">
      <c r="A92" s="1"/>
      <c r="B92" s="1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85"/>
      <c r="N92" s="62"/>
      <c r="O92" s="62"/>
    </row>
    <row r="93" spans="1:15" ht="21.75" customHeight="1">
      <c r="A93" s="1"/>
      <c r="B93" s="1"/>
      <c r="C93" s="146" t="s">
        <v>186</v>
      </c>
      <c r="D93" s="146"/>
      <c r="E93" s="146"/>
      <c r="F93" s="146"/>
      <c r="G93" s="146"/>
      <c r="H93" s="146"/>
      <c r="I93" s="146"/>
      <c r="J93" s="146"/>
      <c r="K93" s="146"/>
      <c r="L93" s="146"/>
      <c r="M93" s="63"/>
      <c r="N93" s="63"/>
      <c r="O93" s="63"/>
    </row>
    <row r="94" spans="1:13" ht="21" customHeight="1">
      <c r="A94" s="1"/>
      <c r="B94" s="1"/>
      <c r="M94" s="17"/>
    </row>
    <row r="95" spans="5:15" ht="18">
      <c r="E95" s="2"/>
      <c r="F95" s="2"/>
      <c r="G95" s="2"/>
      <c r="H95" s="2"/>
      <c r="I95" s="2"/>
      <c r="J95" s="2"/>
      <c r="M95" s="17"/>
      <c r="O95" s="22"/>
    </row>
    <row r="97" ht="18">
      <c r="L97" s="2"/>
    </row>
    <row r="102" ht="12.75">
      <c r="I102" t="s">
        <v>169</v>
      </c>
    </row>
  </sheetData>
  <sheetProtection/>
  <mergeCells count="69">
    <mergeCell ref="S42:AD42"/>
    <mergeCell ref="S54:AD54"/>
    <mergeCell ref="N19:P19"/>
    <mergeCell ref="A1:E8"/>
    <mergeCell ref="H1:M13"/>
    <mergeCell ref="A14:M14"/>
    <mergeCell ref="A15:M15"/>
    <mergeCell ref="A16:M16"/>
    <mergeCell ref="A17:A19"/>
    <mergeCell ref="B17:B19"/>
    <mergeCell ref="D17:D19"/>
    <mergeCell ref="E17:E19"/>
    <mergeCell ref="F17:H18"/>
    <mergeCell ref="I17:K18"/>
    <mergeCell ref="L17:L19"/>
    <mergeCell ref="M17:M19"/>
    <mergeCell ref="N20:P20"/>
    <mergeCell ref="N21:P21"/>
    <mergeCell ref="N22:P22"/>
    <mergeCell ref="N23:P23"/>
    <mergeCell ref="N24:P24"/>
    <mergeCell ref="N25:O25"/>
    <mergeCell ref="N26:P26"/>
    <mergeCell ref="N27:P27"/>
    <mergeCell ref="Q27:W27"/>
    <mergeCell ref="N28:P28"/>
    <mergeCell ref="N29:O29"/>
    <mergeCell ref="A27:M27"/>
    <mergeCell ref="N30:O30"/>
    <mergeCell ref="N32:O32"/>
    <mergeCell ref="N33:O33"/>
    <mergeCell ref="N34:P34"/>
    <mergeCell ref="A35:M35"/>
    <mergeCell ref="N35:P35"/>
    <mergeCell ref="N36:P36"/>
    <mergeCell ref="N37:P37"/>
    <mergeCell ref="N38:P38"/>
    <mergeCell ref="N39:O39"/>
    <mergeCell ref="N40:P40"/>
    <mergeCell ref="A41:M41"/>
    <mergeCell ref="N41:P41"/>
    <mergeCell ref="N43:P43"/>
    <mergeCell ref="N44:P44"/>
    <mergeCell ref="N73:P73"/>
    <mergeCell ref="N47:O47"/>
    <mergeCell ref="B48:M48"/>
    <mergeCell ref="Q56:R56"/>
    <mergeCell ref="B60:M60"/>
    <mergeCell ref="A66:M66"/>
    <mergeCell ref="N66:P66"/>
    <mergeCell ref="N76:P76"/>
    <mergeCell ref="A77:M77"/>
    <mergeCell ref="N77:P77"/>
    <mergeCell ref="N80:P80"/>
    <mergeCell ref="N67:P67"/>
    <mergeCell ref="N68:P68"/>
    <mergeCell ref="N71:P71"/>
    <mergeCell ref="A72:M72"/>
    <mergeCell ref="N72:P72"/>
    <mergeCell ref="C92:L92"/>
    <mergeCell ref="C93:L93"/>
    <mergeCell ref="B54:M54"/>
    <mergeCell ref="N81:P81"/>
    <mergeCell ref="N82:P82"/>
    <mergeCell ref="N83:P83"/>
    <mergeCell ref="N85:P85"/>
    <mergeCell ref="N86:P86"/>
    <mergeCell ref="C91:L91"/>
    <mergeCell ref="N74:P7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Стасюк</cp:lastModifiedBy>
  <cp:lastPrinted>2021-05-31T13:31:53Z</cp:lastPrinted>
  <dcterms:created xsi:type="dcterms:W3CDTF">2012-09-21T10:33:29Z</dcterms:created>
  <dcterms:modified xsi:type="dcterms:W3CDTF">2021-06-09T14:09:20Z</dcterms:modified>
  <cp:category/>
  <cp:version/>
  <cp:contentType/>
  <cp:contentStatus/>
</cp:coreProperties>
</file>